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Sheet1!$A$1:$AN$1370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38" i="1" l="1"/>
  <c r="AB954" i="1"/>
  <c r="AB1040" i="1"/>
  <c r="AB551" i="1" l="1"/>
  <c r="AB1370" i="1"/>
  <c r="V226" i="1"/>
  <c r="AA1309" i="1"/>
  <c r="G75" i="2"/>
  <c r="F75" i="2"/>
  <c r="D2" i="16"/>
  <c r="AB519" i="1"/>
  <c r="AB518" i="1"/>
  <c r="AB326" i="1"/>
  <c r="AB82" i="1"/>
  <c r="AB306" i="1"/>
  <c r="AB138" i="1"/>
  <c r="AB176" i="1"/>
  <c r="AB889" i="1"/>
  <c r="AB142" i="1"/>
  <c r="Q409" i="1"/>
  <c r="AB409" i="1"/>
  <c r="AB410" i="1"/>
  <c r="AB451" i="1"/>
  <c r="AB1369" i="1"/>
  <c r="AC1369" i="1" s="1"/>
  <c r="AA1369" i="1"/>
  <c r="AB452" i="1"/>
  <c r="AB604" i="1"/>
  <c r="AB603" i="1"/>
  <c r="Q603" i="1"/>
  <c r="Q618" i="1"/>
  <c r="AB618" i="1"/>
  <c r="AB1368" i="1"/>
  <c r="AC1368" i="1" s="1"/>
  <c r="AB619" i="1"/>
  <c r="AA1368" i="1"/>
  <c r="AB600" i="1"/>
  <c r="AB634" i="1"/>
  <c r="Q47" i="1"/>
  <c r="AB47" i="1"/>
  <c r="AB835" i="1"/>
  <c r="AB78" i="1"/>
  <c r="AB85" i="1"/>
  <c r="AB73" i="1"/>
  <c r="AB72" i="1"/>
  <c r="AB69" i="1"/>
  <c r="AB1367" i="1"/>
  <c r="AA207" i="1"/>
  <c r="AB98" i="1"/>
  <c r="AB492" i="1"/>
  <c r="AB1019" i="1"/>
  <c r="AC1019" i="1" s="1"/>
  <c r="AB789" i="1"/>
  <c r="AC789" i="1" s="1"/>
  <c r="AB785" i="1"/>
  <c r="AC785" i="1" s="1"/>
  <c r="AB526" i="1"/>
  <c r="AB525" i="1"/>
  <c r="AB1341" i="1"/>
  <c r="AA874" i="1"/>
  <c r="Z231" i="1"/>
  <c r="AB942" i="1"/>
  <c r="AC942" i="1" s="1"/>
  <c r="AB563" i="1"/>
  <c r="AA765" i="1"/>
  <c r="AA563" i="1"/>
  <c r="AA562" i="1"/>
  <c r="AB253" i="1"/>
  <c r="AB244" i="1"/>
  <c r="AA244" i="1"/>
  <c r="V136" i="1"/>
  <c r="AB943" i="1"/>
  <c r="AC943" i="1" s="1"/>
  <c r="AA1365" i="1"/>
  <c r="AA1364" i="1"/>
  <c r="AA1333" i="1"/>
  <c r="AB1333" i="1" s="1"/>
  <c r="AC1333" i="1" s="1"/>
  <c r="AA1332" i="1"/>
  <c r="AB1364" i="1"/>
  <c r="AB1365" i="1"/>
  <c r="AB33" i="1"/>
  <c r="AB983" i="1"/>
  <c r="AB1059" i="1"/>
  <c r="AB146" i="1"/>
  <c r="AB670" i="1"/>
  <c r="AB671" i="1"/>
  <c r="AB359" i="1"/>
  <c r="AB275" i="1"/>
  <c r="AB948" i="1"/>
  <c r="Z948" i="1"/>
  <c r="AB6" i="1"/>
  <c r="AB827" i="1"/>
  <c r="AB828" i="1"/>
  <c r="AB1034" i="1"/>
  <c r="AB555" i="1"/>
  <c r="AD555" i="1"/>
  <c r="AB934" i="1"/>
  <c r="AD927" i="1"/>
  <c r="AF927" i="1" s="1"/>
  <c r="AB44" i="1"/>
  <c r="AB1331" i="1"/>
  <c r="AA863" i="1"/>
  <c r="AB1043" i="1"/>
  <c r="AB1362" i="1"/>
  <c r="AB1361" i="1"/>
  <c r="AB1360" i="1"/>
  <c r="AB878" i="1"/>
  <c r="AC878" i="1" s="1"/>
  <c r="AB876" i="1"/>
  <c r="AB1276" i="1"/>
  <c r="AB1159" i="1"/>
  <c r="K32" i="11"/>
  <c r="H32" i="11"/>
  <c r="K21" i="11"/>
  <c r="H21" i="11"/>
  <c r="L9" i="9"/>
  <c r="H9" i="9"/>
  <c r="B9" i="9"/>
  <c r="I9" i="9"/>
  <c r="K8" i="9"/>
  <c r="M8" i="9"/>
  <c r="K7" i="9"/>
  <c r="M7" i="9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/>
  <c r="I82" i="2"/>
  <c r="K82" i="2"/>
  <c r="I81" i="2"/>
  <c r="K81" i="2"/>
  <c r="K80" i="2"/>
  <c r="I80" i="2"/>
  <c r="I79" i="2"/>
  <c r="K79" i="2"/>
  <c r="I78" i="2"/>
  <c r="K78" i="2"/>
  <c r="I77" i="2"/>
  <c r="K77" i="2"/>
  <c r="I76" i="2"/>
  <c r="K76" i="2"/>
  <c r="I75" i="2"/>
  <c r="K75" i="2"/>
  <c r="K74" i="2"/>
  <c r="I74" i="2"/>
  <c r="G70" i="2"/>
  <c r="K68" i="2"/>
  <c r="I67" i="2"/>
  <c r="K67" i="2"/>
  <c r="I66" i="2"/>
  <c r="K66" i="2"/>
  <c r="K65" i="2"/>
  <c r="I65" i="2"/>
  <c r="I64" i="2"/>
  <c r="K64" i="2"/>
  <c r="I63" i="2"/>
  <c r="K63" i="2"/>
  <c r="K62" i="2"/>
  <c r="K61" i="2"/>
  <c r="K60" i="2"/>
  <c r="G60" i="2"/>
  <c r="F60" i="2"/>
  <c r="I59" i="2"/>
  <c r="K59" i="2"/>
  <c r="I58" i="2"/>
  <c r="F58" i="2"/>
  <c r="I57" i="2"/>
  <c r="K57" i="2"/>
  <c r="I56" i="2"/>
  <c r="K56" i="2"/>
  <c r="K55" i="2"/>
  <c r="I55" i="2"/>
  <c r="I54" i="2"/>
  <c r="J54" i="2"/>
  <c r="G54" i="2"/>
  <c r="I53" i="2"/>
  <c r="K53" i="2"/>
  <c r="I52" i="2"/>
  <c r="K52" i="2"/>
  <c r="I51" i="2"/>
  <c r="K51" i="2"/>
  <c r="I50" i="2"/>
  <c r="K50" i="2"/>
  <c r="K46" i="2"/>
  <c r="K45" i="2"/>
  <c r="K44" i="2"/>
  <c r="K43" i="2"/>
  <c r="I42" i="2"/>
  <c r="K42" i="2"/>
  <c r="I41" i="2"/>
  <c r="K41" i="2"/>
  <c r="K40" i="2"/>
  <c r="K39" i="2"/>
  <c r="K38" i="2"/>
  <c r="K37" i="2"/>
  <c r="K36" i="2"/>
  <c r="I35" i="2"/>
  <c r="K35" i="2"/>
  <c r="I34" i="2"/>
  <c r="K34" i="2"/>
  <c r="I33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/>
  <c r="I11" i="2"/>
  <c r="K11" i="2"/>
  <c r="I10" i="2"/>
  <c r="K10" i="2"/>
  <c r="I9" i="2"/>
  <c r="K9" i="2"/>
  <c r="I8" i="2"/>
  <c r="K8" i="2"/>
  <c r="K7" i="2"/>
  <c r="K6" i="2"/>
  <c r="K5" i="2"/>
  <c r="K4" i="2"/>
  <c r="K3" i="2"/>
  <c r="I3" i="2"/>
  <c r="I2" i="2"/>
  <c r="K2" i="2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/>
  <c r="D40" i="16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F1332" i="1"/>
  <c r="AB1332" i="1"/>
  <c r="AC1332" i="1" s="1"/>
  <c r="AF1331" i="1"/>
  <c r="AC1331" i="1"/>
  <c r="AF1330" i="1"/>
  <c r="AB1330" i="1"/>
  <c r="AC1330" i="1" s="1"/>
  <c r="AF1329" i="1"/>
  <c r="AC1329" i="1"/>
  <c r="AF1328" i="1"/>
  <c r="AB1328" i="1"/>
  <c r="AC1328" i="1" s="1"/>
  <c r="AF1327" i="1"/>
  <c r="AF1326" i="1"/>
  <c r="AB1326" i="1"/>
  <c r="AC1326" i="1" s="1"/>
  <c r="AF1325" i="1"/>
  <c r="AB1325" i="1"/>
  <c r="AC1325" i="1" s="1"/>
  <c r="AF1324" i="1"/>
  <c r="AB1324" i="1"/>
  <c r="AC1324" i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/>
  <c r="Z1246" i="1"/>
  <c r="AA1246" i="1"/>
  <c r="T1246" i="1"/>
  <c r="U1246" i="1" s="1"/>
  <c r="W1246" i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/>
  <c r="W1229" i="1" s="1"/>
  <c r="AF1228" i="1"/>
  <c r="Z1228" i="1"/>
  <c r="T1228" i="1"/>
  <c r="U1228" i="1" s="1"/>
  <c r="W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H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/>
  <c r="AA1217" i="1"/>
  <c r="T1217" i="1"/>
  <c r="U1217" i="1" s="1"/>
  <c r="W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/>
  <c r="W1160" i="1" s="1"/>
  <c r="AF1159" i="1"/>
  <c r="AC1159" i="1"/>
  <c r="AA1159" i="1"/>
  <c r="T1159" i="1"/>
  <c r="U1159" i="1" s="1"/>
  <c r="W1159" i="1" s="1"/>
  <c r="X1159" i="1" s="1"/>
  <c r="Y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/>
  <c r="W1144" i="1" s="1"/>
  <c r="AF1143" i="1"/>
  <c r="AB1143" i="1"/>
  <c r="AC1143" i="1"/>
  <c r="AA1143" i="1"/>
  <c r="T1143" i="1"/>
  <c r="U1143" i="1" s="1"/>
  <c r="W1143" i="1" s="1"/>
  <c r="X1143" i="1" s="1"/>
  <c r="AF1142" i="1"/>
  <c r="AB1142" i="1"/>
  <c r="AC1142" i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/>
  <c r="AA1112" i="1"/>
  <c r="T1112" i="1"/>
  <c r="U1112" i="1" s="1"/>
  <c r="W1112" i="1" s="1"/>
  <c r="X1112" i="1" s="1"/>
  <c r="AD1111" i="1"/>
  <c r="AF1111" i="1"/>
  <c r="AB1111" i="1"/>
  <c r="AC1111" i="1" s="1"/>
  <c r="AA1111" i="1"/>
  <c r="T1111" i="1"/>
  <c r="U1111" i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X1094" i="1" s="1"/>
  <c r="Y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/>
  <c r="AB1041" i="1"/>
  <c r="AC1041" i="1" s="1"/>
  <c r="AA1041" i="1"/>
  <c r="T1041" i="1"/>
  <c r="U1041" i="1" s="1"/>
  <c r="W1041" i="1" s="1"/>
  <c r="AD1040" i="1"/>
  <c r="AF1040" i="1" s="1"/>
  <c r="AC1040" i="1"/>
  <c r="AA1040" i="1"/>
  <c r="T1040" i="1"/>
  <c r="U1040" i="1" s="1"/>
  <c r="W1040" i="1" s="1"/>
  <c r="X1040" i="1" s="1"/>
  <c r="Y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A1038" i="1"/>
  <c r="T1038" i="1"/>
  <c r="U1038" i="1" s="1"/>
  <c r="W1038" i="1" s="1"/>
  <c r="X1038" i="1" s="1"/>
  <c r="Y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/>
  <c r="AB1000" i="1"/>
  <c r="AC1000" i="1" s="1"/>
  <c r="AA1000" i="1"/>
  <c r="T1000" i="1"/>
  <c r="U1000" i="1" s="1"/>
  <c r="W1000" i="1" s="1"/>
  <c r="AD999" i="1"/>
  <c r="AF999" i="1" s="1"/>
  <c r="AB999" i="1"/>
  <c r="AC999" i="1" s="1"/>
  <c r="AA999" i="1"/>
  <c r="T999" i="1"/>
  <c r="U999" i="1" s="1"/>
  <c r="W999" i="1" s="1"/>
  <c r="AD998" i="1"/>
  <c r="AF998" i="1" s="1"/>
  <c r="AB998" i="1"/>
  <c r="AC998" i="1" s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C954" i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/>
  <c r="AB944" i="1"/>
  <c r="AC944" i="1" s="1"/>
  <c r="AA944" i="1"/>
  <c r="T944" i="1"/>
  <c r="U944" i="1" s="1"/>
  <c r="W944" i="1" s="1"/>
  <c r="AD943" i="1"/>
  <c r="AF943" i="1" s="1"/>
  <c r="AA943" i="1"/>
  <c r="T943" i="1"/>
  <c r="U943" i="1" s="1"/>
  <c r="W943" i="1" s="1"/>
  <c r="AD942" i="1"/>
  <c r="AF942" i="1" s="1"/>
  <c r="AA942" i="1"/>
  <c r="T942" i="1"/>
  <c r="U942" i="1" s="1"/>
  <c r="W942" i="1" s="1"/>
  <c r="AD941" i="1"/>
  <c r="AF941" i="1" s="1"/>
  <c r="AB941" i="1"/>
  <c r="AC941" i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/>
  <c r="W928" i="1" s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X916" i="1" s="1"/>
  <c r="Y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A885" i="1"/>
  <c r="AB885" i="1" s="1"/>
  <c r="AC885" i="1" s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X860" i="1" s="1"/>
  <c r="Y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G840" i="1" s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X839" i="1" s="1"/>
  <c r="Y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/>
  <c r="AA837" i="1"/>
  <c r="T837" i="1"/>
  <c r="U837" i="1" s="1"/>
  <c r="W837" i="1" s="1"/>
  <c r="X837" i="1" s="1"/>
  <c r="Y837" i="1" s="1"/>
  <c r="AD836" i="1"/>
  <c r="AF836" i="1" s="1"/>
  <c r="AB836" i="1"/>
  <c r="AC836" i="1" s="1"/>
  <c r="AA836" i="1"/>
  <c r="T836" i="1"/>
  <c r="U836" i="1" s="1"/>
  <c r="W836" i="1" s="1"/>
  <c r="AF835" i="1"/>
  <c r="AC835" i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X834" i="1" s="1"/>
  <c r="Y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/>
  <c r="W828" i="1" s="1"/>
  <c r="AD827" i="1"/>
  <c r="AF827" i="1" s="1"/>
  <c r="AC827" i="1"/>
  <c r="AA827" i="1"/>
  <c r="T827" i="1"/>
  <c r="U827" i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G824" i="1" s="1"/>
  <c r="AA824" i="1"/>
  <c r="T824" i="1"/>
  <c r="U824" i="1" s="1"/>
  <c r="W824" i="1" s="1"/>
  <c r="AD823" i="1"/>
  <c r="AF823" i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A814" i="1"/>
  <c r="AB814" i="1" s="1"/>
  <c r="AC814" i="1" s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AD789" i="1"/>
  <c r="AF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/>
  <c r="AA759" i="1"/>
  <c r="T759" i="1"/>
  <c r="U759" i="1"/>
  <c r="W759" i="1" s="1"/>
  <c r="AD758" i="1"/>
  <c r="AF758" i="1" s="1"/>
  <c r="AB758" i="1"/>
  <c r="AC758" i="1" s="1"/>
  <c r="AA758" i="1"/>
  <c r="T758" i="1"/>
  <c r="U758" i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C739" i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/>
  <c r="W717" i="1" s="1"/>
  <c r="AD716" i="1"/>
  <c r="AF716" i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X713" i="1" s="1"/>
  <c r="Y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AD660" i="1"/>
  <c r="AF660" i="1" s="1"/>
  <c r="AB660" i="1"/>
  <c r="AC660" i="1" s="1"/>
  <c r="AA660" i="1"/>
  <c r="T660" i="1"/>
  <c r="U660" i="1" s="1"/>
  <c r="W660" i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X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X643" i="1" s="1"/>
  <c r="Y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C634" i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X631" i="1" s="1"/>
  <c r="Y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/>
  <c r="W625" i="1" s="1"/>
  <c r="X625" i="1" s="1"/>
  <c r="AD624" i="1"/>
  <c r="AF624" i="1" s="1"/>
  <c r="AB624" i="1"/>
  <c r="AC624" i="1" s="1"/>
  <c r="AA624" i="1"/>
  <c r="T624" i="1"/>
  <c r="U624" i="1" s="1"/>
  <c r="W624" i="1" s="1"/>
  <c r="X624" i="1" s="1"/>
  <c r="Y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X620" i="1" s="1"/>
  <c r="AD619" i="1"/>
  <c r="AF619" i="1" s="1"/>
  <c r="AC619" i="1"/>
  <c r="AA619" i="1"/>
  <c r="T619" i="1"/>
  <c r="U619" i="1" s="1"/>
  <c r="W619" i="1" s="1"/>
  <c r="AD618" i="1"/>
  <c r="AF618" i="1" s="1"/>
  <c r="AC618" i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/>
  <c r="X611" i="1" s="1"/>
  <c r="Y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/>
  <c r="AB609" i="1"/>
  <c r="AC609" i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/>
  <c r="AB606" i="1"/>
  <c r="AC606" i="1" s="1"/>
  <c r="AA606" i="1"/>
  <c r="T606" i="1"/>
  <c r="U606" i="1"/>
  <c r="W606" i="1" s="1"/>
  <c r="X606" i="1" s="1"/>
  <c r="Y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C604" i="1"/>
  <c r="AA604" i="1"/>
  <c r="T604" i="1"/>
  <c r="U604" i="1" s="1"/>
  <c r="W604" i="1" s="1"/>
  <c r="X604" i="1" s="1"/>
  <c r="Y604" i="1" s="1"/>
  <c r="AD603" i="1"/>
  <c r="AF603" i="1" s="1"/>
  <c r="AC603" i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C600" i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Y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X588" i="1" s="1"/>
  <c r="Y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/>
  <c r="AB584" i="1"/>
  <c r="AC584" i="1"/>
  <c r="AA584" i="1"/>
  <c r="T584" i="1"/>
  <c r="U584" i="1" s="1"/>
  <c r="W584" i="1" s="1"/>
  <c r="X584" i="1" s="1"/>
  <c r="Y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AF581" i="1"/>
  <c r="AB581" i="1"/>
  <c r="AC581" i="1" s="1"/>
  <c r="AA581" i="1"/>
  <c r="T581" i="1"/>
  <c r="U581" i="1" s="1"/>
  <c r="W581" i="1" s="1"/>
  <c r="X581" i="1" s="1"/>
  <c r="Y581" i="1" s="1"/>
  <c r="AD580" i="1"/>
  <c r="AF580" i="1" s="1"/>
  <c r="AB580" i="1"/>
  <c r="AC580" i="1" s="1"/>
  <c r="AA580" i="1"/>
  <c r="T580" i="1"/>
  <c r="U580" i="1" s="1"/>
  <c r="W580" i="1" s="1"/>
  <c r="X580" i="1" s="1"/>
  <c r="Y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X576" i="1" s="1"/>
  <c r="Y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AD570" i="1"/>
  <c r="AF570" i="1" s="1"/>
  <c r="AB570" i="1"/>
  <c r="AC570" i="1" s="1"/>
  <c r="AA570" i="1"/>
  <c r="T570" i="1"/>
  <c r="U570" i="1" s="1"/>
  <c r="W570" i="1" s="1"/>
  <c r="AD569" i="1"/>
  <c r="AF569" i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/>
  <c r="AA560" i="1"/>
  <c r="T560" i="1"/>
  <c r="U560" i="1" s="1"/>
  <c r="W560" i="1" s="1"/>
  <c r="X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/>
  <c r="AA553" i="1"/>
  <c r="T553" i="1"/>
  <c r="U553" i="1" s="1"/>
  <c r="W553" i="1" s="1"/>
  <c r="X553" i="1" s="1"/>
  <c r="AD552" i="1"/>
  <c r="AF552" i="1" s="1"/>
  <c r="AB552" i="1"/>
  <c r="AC552" i="1" s="1"/>
  <c r="AA552" i="1"/>
  <c r="T552" i="1"/>
  <c r="U552" i="1" s="1"/>
  <c r="W552" i="1" s="1"/>
  <c r="X552" i="1" s="1"/>
  <c r="T551" i="1"/>
  <c r="U551" i="1"/>
  <c r="W551" i="1" s="1"/>
  <c r="AD550" i="1"/>
  <c r="AF550" i="1" s="1"/>
  <c r="AB550" i="1"/>
  <c r="AC550" i="1" s="1"/>
  <c r="AA550" i="1"/>
  <c r="T550" i="1"/>
  <c r="U550" i="1" s="1"/>
  <c r="W550" i="1" s="1"/>
  <c r="Z549" i="1"/>
  <c r="AB549" i="1" s="1"/>
  <c r="T549" i="1"/>
  <c r="U549" i="1" s="1"/>
  <c r="W549" i="1" s="1"/>
  <c r="X549" i="1" s="1"/>
  <c r="Y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X546" i="1" s="1"/>
  <c r="Y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X532" i="1" s="1"/>
  <c r="Y532" i="1" s="1"/>
  <c r="AD531" i="1"/>
  <c r="AF531" i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AD525" i="1"/>
  <c r="AF525" i="1" s="1"/>
  <c r="AC525" i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C519" i="1"/>
  <c r="AA519" i="1"/>
  <c r="T519" i="1"/>
  <c r="U519" i="1" s="1"/>
  <c r="W519" i="1" s="1"/>
  <c r="AD518" i="1"/>
  <c r="AF518" i="1" s="1"/>
  <c r="AC518" i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X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/>
  <c r="X506" i="1" s="1"/>
  <c r="Y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X502" i="1" s="1"/>
  <c r="Y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X500" i="1" s="1"/>
  <c r="Y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/>
  <c r="AB497" i="1"/>
  <c r="AC497" i="1" s="1"/>
  <c r="AA497" i="1"/>
  <c r="T497" i="1"/>
  <c r="U497" i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/>
  <c r="AA493" i="1"/>
  <c r="T493" i="1"/>
  <c r="U493" i="1" s="1"/>
  <c r="W493" i="1" s="1"/>
  <c r="AD492" i="1"/>
  <c r="AF492" i="1" s="1"/>
  <c r="AC492" i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AD489" i="1"/>
  <c r="AF489" i="1" s="1"/>
  <c r="AB489" i="1"/>
  <c r="AC489" i="1" s="1"/>
  <c r="AA489" i="1"/>
  <c r="T489" i="1"/>
  <c r="U489" i="1"/>
  <c r="W489" i="1" s="1"/>
  <c r="Z488" i="1"/>
  <c r="T488" i="1"/>
  <c r="U488" i="1" s="1"/>
  <c r="W488" i="1" s="1"/>
  <c r="X488" i="1" s="1"/>
  <c r="AD487" i="1"/>
  <c r="AF487" i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X486" i="1" s="1"/>
  <c r="Y486" i="1" s="1"/>
  <c r="AD485" i="1"/>
  <c r="AF485" i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/>
  <c r="W483" i="1" s="1"/>
  <c r="X483" i="1" s="1"/>
  <c r="AD482" i="1"/>
  <c r="AF482" i="1" s="1"/>
  <c r="AB482" i="1"/>
  <c r="AC482" i="1" s="1"/>
  <c r="AA482" i="1"/>
  <c r="T482" i="1"/>
  <c r="U482" i="1"/>
  <c r="W482" i="1" s="1"/>
  <c r="X482" i="1" s="1"/>
  <c r="AD481" i="1"/>
  <c r="AF481" i="1" s="1"/>
  <c r="AB481" i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X476" i="1" s="1"/>
  <c r="Y476" i="1" s="1"/>
  <c r="AD475" i="1"/>
  <c r="AF475" i="1" s="1"/>
  <c r="AB475" i="1"/>
  <c r="AC475" i="1" s="1"/>
  <c r="AA475" i="1"/>
  <c r="T475" i="1"/>
  <c r="U475" i="1" s="1"/>
  <c r="W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X473" i="1" s="1"/>
  <c r="Y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/>
  <c r="AB471" i="1"/>
  <c r="AC471" i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X469" i="1" s="1"/>
  <c r="Y469" i="1" s="1"/>
  <c r="AD468" i="1"/>
  <c r="AF468" i="1" s="1"/>
  <c r="AB468" i="1"/>
  <c r="AC468" i="1" s="1"/>
  <c r="AA468" i="1"/>
  <c r="T468" i="1"/>
  <c r="U468" i="1" s="1"/>
  <c r="W468" i="1" s="1"/>
  <c r="AD467" i="1"/>
  <c r="AF467" i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X466" i="1" s="1"/>
  <c r="Y466" i="1" s="1"/>
  <c r="AD465" i="1"/>
  <c r="AF465" i="1" s="1"/>
  <c r="AB465" i="1"/>
  <c r="AC465" i="1" s="1"/>
  <c r="AA465" i="1"/>
  <c r="T465" i="1"/>
  <c r="U465" i="1"/>
  <c r="W465" i="1" s="1"/>
  <c r="AD464" i="1"/>
  <c r="AF464" i="1"/>
  <c r="AB464" i="1"/>
  <c r="AC464" i="1" s="1"/>
  <c r="AA464" i="1"/>
  <c r="T464" i="1"/>
  <c r="U464" i="1" s="1"/>
  <c r="W464" i="1" s="1"/>
  <c r="X464" i="1" s="1"/>
  <c r="Y464" i="1" s="1"/>
  <c r="AD463" i="1"/>
  <c r="AF463" i="1"/>
  <c r="AC463" i="1"/>
  <c r="AB463" i="1"/>
  <c r="AA463" i="1"/>
  <c r="T463" i="1"/>
  <c r="U463" i="1" s="1"/>
  <c r="W463" i="1" s="1"/>
  <c r="X463" i="1" s="1"/>
  <c r="Y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X459" i="1" s="1"/>
  <c r="Y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C452" i="1"/>
  <c r="AA452" i="1"/>
  <c r="T452" i="1"/>
  <c r="U452" i="1" s="1"/>
  <c r="W452" i="1" s="1"/>
  <c r="AD451" i="1"/>
  <c r="AF451" i="1" s="1"/>
  <c r="AC451" i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AD446" i="1"/>
  <c r="AF446" i="1" s="1"/>
  <c r="AB446" i="1"/>
  <c r="AC446" i="1" s="1"/>
  <c r="AA446" i="1"/>
  <c r="T446" i="1"/>
  <c r="U446" i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X442" i="1" s="1"/>
  <c r="Y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X440" i="1" s="1"/>
  <c r="AF439" i="1"/>
  <c r="AB439" i="1"/>
  <c r="AC439" i="1"/>
  <c r="AA439" i="1"/>
  <c r="T439" i="1"/>
  <c r="U439" i="1" s="1"/>
  <c r="W439" i="1" s="1"/>
  <c r="X439" i="1" s="1"/>
  <c r="Y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AD436" i="1"/>
  <c r="AF436" i="1" s="1"/>
  <c r="AB436" i="1"/>
  <c r="AC436" i="1" s="1"/>
  <c r="AA436" i="1"/>
  <c r="T436" i="1"/>
  <c r="U436" i="1" s="1"/>
  <c r="W436" i="1" s="1"/>
  <c r="X436" i="1" s="1"/>
  <c r="Y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X433" i="1" s="1"/>
  <c r="Y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X428" i="1" s="1"/>
  <c r="Y428" i="1" s="1"/>
  <c r="AD427" i="1"/>
  <c r="AF427" i="1" s="1"/>
  <c r="AB427" i="1"/>
  <c r="AC427" i="1" s="1"/>
  <c r="AA427" i="1"/>
  <c r="T427" i="1"/>
  <c r="U427" i="1" s="1"/>
  <c r="W427" i="1" s="1"/>
  <c r="X427" i="1" s="1"/>
  <c r="Y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X425" i="1" s="1"/>
  <c r="Y425" i="1" s="1"/>
  <c r="AD424" i="1"/>
  <c r="AF424" i="1" s="1"/>
  <c r="AB424" i="1"/>
  <c r="AC424" i="1" s="1"/>
  <c r="AA424" i="1"/>
  <c r="T424" i="1"/>
  <c r="U424" i="1" s="1"/>
  <c r="W424" i="1" s="1"/>
  <c r="X424" i="1" s="1"/>
  <c r="Y424" i="1" s="1"/>
  <c r="AD423" i="1"/>
  <c r="AF423" i="1" s="1"/>
  <c r="AB423" i="1"/>
  <c r="AC423" i="1" s="1"/>
  <c r="AA423" i="1"/>
  <c r="T423" i="1"/>
  <c r="U423" i="1" s="1"/>
  <c r="W423" i="1" s="1"/>
  <c r="X423" i="1" s="1"/>
  <c r="Y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/>
  <c r="W420" i="1" s="1"/>
  <c r="AD419" i="1"/>
  <c r="AF419" i="1" s="1"/>
  <c r="AB419" i="1"/>
  <c r="AC419" i="1" s="1"/>
  <c r="AA419" i="1"/>
  <c r="T419" i="1"/>
  <c r="U419" i="1" s="1"/>
  <c r="W419" i="1" s="1"/>
  <c r="X419" i="1" s="1"/>
  <c r="Y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X416" i="1" s="1"/>
  <c r="Y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C410" i="1"/>
  <c r="AA410" i="1"/>
  <c r="T410" i="1"/>
  <c r="U410" i="1" s="1"/>
  <c r="W410" i="1" s="1"/>
  <c r="AD409" i="1"/>
  <c r="AF409" i="1" s="1"/>
  <c r="AC409" i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X404" i="1" s="1"/>
  <c r="Y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X391" i="1" s="1"/>
  <c r="Y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X387" i="1" s="1"/>
  <c r="AF386" i="1"/>
  <c r="AB386" i="1"/>
  <c r="AC386" i="1" s="1"/>
  <c r="AA386" i="1"/>
  <c r="T386" i="1"/>
  <c r="U386" i="1"/>
  <c r="W386" i="1" s="1"/>
  <c r="AF385" i="1"/>
  <c r="AB385" i="1"/>
  <c r="AC385" i="1" s="1"/>
  <c r="AA385" i="1"/>
  <c r="T385" i="1"/>
  <c r="U385" i="1" s="1"/>
  <c r="W385" i="1" s="1"/>
  <c r="X385" i="1" s="1"/>
  <c r="AF384" i="1"/>
  <c r="AB384" i="1"/>
  <c r="AC384" i="1" s="1"/>
  <c r="AA384" i="1"/>
  <c r="T384" i="1"/>
  <c r="U384" i="1" s="1"/>
  <c r="W384" i="1" s="1"/>
  <c r="X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X382" i="1" s="1"/>
  <c r="Y382" i="1" s="1"/>
  <c r="AF381" i="1"/>
  <c r="AB381" i="1"/>
  <c r="AC381" i="1" s="1"/>
  <c r="AA381" i="1"/>
  <c r="T381" i="1"/>
  <c r="U381" i="1" s="1"/>
  <c r="W381" i="1" s="1"/>
  <c r="X381" i="1" s="1"/>
  <c r="AF380" i="1"/>
  <c r="AB380" i="1"/>
  <c r="AC380" i="1" s="1"/>
  <c r="AA380" i="1"/>
  <c r="T380" i="1"/>
  <c r="U380" i="1" s="1"/>
  <c r="W380" i="1" s="1"/>
  <c r="X380" i="1" s="1"/>
  <c r="Y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AF376" i="1"/>
  <c r="AB376" i="1"/>
  <c r="AC376" i="1"/>
  <c r="AA376" i="1"/>
  <c r="T376" i="1"/>
  <c r="U376" i="1" s="1"/>
  <c r="W376" i="1" s="1"/>
  <c r="AF375" i="1"/>
  <c r="AB375" i="1"/>
  <c r="AC375" i="1" s="1"/>
  <c r="AA375" i="1"/>
  <c r="T375" i="1"/>
  <c r="U375" i="1"/>
  <c r="W375" i="1" s="1"/>
  <c r="X375" i="1" s="1"/>
  <c r="Y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AF368" i="1"/>
  <c r="AB368" i="1"/>
  <c r="AC368" i="1" s="1"/>
  <c r="AA368" i="1"/>
  <c r="T368" i="1"/>
  <c r="U368" i="1" s="1"/>
  <c r="W368" i="1" s="1"/>
  <c r="X368" i="1" s="1"/>
  <c r="Y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/>
  <c r="AF365" i="1"/>
  <c r="AB365" i="1"/>
  <c r="AC365" i="1" s="1"/>
  <c r="AA365" i="1"/>
  <c r="T365" i="1"/>
  <c r="U365" i="1" s="1"/>
  <c r="W365" i="1" s="1"/>
  <c r="AF364" i="1"/>
  <c r="AB364" i="1"/>
  <c r="AC364" i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X361" i="1" s="1"/>
  <c r="Y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/>
  <c r="AA357" i="1"/>
  <c r="T357" i="1"/>
  <c r="U357" i="1" s="1"/>
  <c r="W357" i="1" s="1"/>
  <c r="AF356" i="1"/>
  <c r="Z356" i="1"/>
  <c r="AB356" i="1" s="1"/>
  <c r="T356" i="1"/>
  <c r="U356" i="1" s="1"/>
  <c r="W356" i="1" s="1"/>
  <c r="X356" i="1" s="1"/>
  <c r="Y356" i="1" s="1"/>
  <c r="AF355" i="1"/>
  <c r="AB355" i="1"/>
  <c r="AC355" i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X350" i="1" s="1"/>
  <c r="AF349" i="1"/>
  <c r="AC349" i="1"/>
  <c r="AA349" i="1"/>
  <c r="T349" i="1"/>
  <c r="U349" i="1" s="1"/>
  <c r="W349" i="1" s="1"/>
  <c r="X349" i="1" s="1"/>
  <c r="Y349" i="1" s="1"/>
  <c r="AF348" i="1"/>
  <c r="AB348" i="1"/>
  <c r="AC348" i="1" s="1"/>
  <c r="AA348" i="1"/>
  <c r="T348" i="1"/>
  <c r="U348" i="1" s="1"/>
  <c r="W348" i="1" s="1"/>
  <c r="X348" i="1" s="1"/>
  <c r="AF347" i="1"/>
  <c r="AB347" i="1"/>
  <c r="AC347" i="1" s="1"/>
  <c r="AA347" i="1"/>
  <c r="T347" i="1"/>
  <c r="U347" i="1" s="1"/>
  <c r="W347" i="1" s="1"/>
  <c r="X347" i="1" s="1"/>
  <c r="Y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AF341" i="1"/>
  <c r="AB341" i="1"/>
  <c r="AC341" i="1" s="1"/>
  <c r="AA341" i="1"/>
  <c r="T341" i="1"/>
  <c r="U341" i="1" s="1"/>
  <c r="W341" i="1" s="1"/>
  <c r="AF340" i="1"/>
  <c r="AC340" i="1"/>
  <c r="AA340" i="1"/>
  <c r="T340" i="1"/>
  <c r="U340" i="1" s="1"/>
  <c r="W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/>
  <c r="X338" i="1" s="1"/>
  <c r="Y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X336" i="1" s="1"/>
  <c r="AF335" i="1"/>
  <c r="AB335" i="1"/>
  <c r="AC335" i="1" s="1"/>
  <c r="AA335" i="1"/>
  <c r="T335" i="1"/>
  <c r="U335" i="1" s="1"/>
  <c r="W335" i="1" s="1"/>
  <c r="X335" i="1" s="1"/>
  <c r="Y335" i="1" s="1"/>
  <c r="AF334" i="1"/>
  <c r="AB334" i="1"/>
  <c r="AC334" i="1" s="1"/>
  <c r="AA334" i="1"/>
  <c r="T334" i="1"/>
  <c r="U334" i="1" s="1"/>
  <c r="W334" i="1" s="1"/>
  <c r="X334" i="1" s="1"/>
  <c r="AF333" i="1"/>
  <c r="AC333" i="1"/>
  <c r="AA333" i="1"/>
  <c r="T333" i="1"/>
  <c r="U333" i="1" s="1"/>
  <c r="W333" i="1" s="1"/>
  <c r="X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X331" i="1" s="1"/>
  <c r="Y331" i="1" s="1"/>
  <c r="AF330" i="1"/>
  <c r="AB330" i="1"/>
  <c r="AC330" i="1"/>
  <c r="AA330" i="1"/>
  <c r="T330" i="1"/>
  <c r="U330" i="1" s="1"/>
  <c r="W330" i="1" s="1"/>
  <c r="AF329" i="1"/>
  <c r="AB329" i="1"/>
  <c r="AC329" i="1" s="1"/>
  <c r="AA329" i="1"/>
  <c r="T329" i="1"/>
  <c r="U329" i="1"/>
  <c r="W329" i="1" s="1"/>
  <c r="X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Y327" i="1" s="1"/>
  <c r="AF326" i="1"/>
  <c r="AC326" i="1"/>
  <c r="AA326" i="1"/>
  <c r="T326" i="1"/>
  <c r="U326" i="1" s="1"/>
  <c r="W326" i="1" s="1"/>
  <c r="X326" i="1" s="1"/>
  <c r="AF325" i="1"/>
  <c r="AB325" i="1"/>
  <c r="AC325" i="1"/>
  <c r="AA325" i="1"/>
  <c r="T325" i="1"/>
  <c r="U325" i="1" s="1"/>
  <c r="W325" i="1" s="1"/>
  <c r="AF324" i="1"/>
  <c r="Z324" i="1"/>
  <c r="T324" i="1"/>
  <c r="U324" i="1"/>
  <c r="W324" i="1" s="1"/>
  <c r="AF323" i="1"/>
  <c r="Z323" i="1"/>
  <c r="AA323" i="1" s="1"/>
  <c r="T323" i="1"/>
  <c r="U323" i="1" s="1"/>
  <c r="W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/>
  <c r="AF318" i="1"/>
  <c r="Z318" i="1"/>
  <c r="T318" i="1"/>
  <c r="U318" i="1" s="1"/>
  <c r="W318" i="1" s="1"/>
  <c r="X318" i="1" s="1"/>
  <c r="Y318" i="1" s="1"/>
  <c r="AF317" i="1"/>
  <c r="Z317" i="1"/>
  <c r="T317" i="1"/>
  <c r="U317" i="1" s="1"/>
  <c r="W317" i="1" s="1"/>
  <c r="AF316" i="1"/>
  <c r="Z316" i="1"/>
  <c r="T316" i="1"/>
  <c r="U316" i="1" s="1"/>
  <c r="W316" i="1" s="1"/>
  <c r="X316" i="1" s="1"/>
  <c r="Y316" i="1" s="1"/>
  <c r="AF315" i="1"/>
  <c r="Z315" i="1"/>
  <c r="T315" i="1"/>
  <c r="U315" i="1"/>
  <c r="W315" i="1" s="1"/>
  <c r="X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T311" i="1"/>
  <c r="U311" i="1" s="1"/>
  <c r="W311" i="1" s="1"/>
  <c r="X311" i="1" s="1"/>
  <c r="Y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AB308" i="1" s="1"/>
  <c r="AG308" i="1" s="1"/>
  <c r="T308" i="1"/>
  <c r="U308" i="1" s="1"/>
  <c r="W308" i="1" s="1"/>
  <c r="AF307" i="1"/>
  <c r="AB307" i="1"/>
  <c r="AA307" i="1"/>
  <c r="T307" i="1"/>
  <c r="U307" i="1" s="1"/>
  <c r="W307" i="1" s="1"/>
  <c r="AF306" i="1"/>
  <c r="AG306" i="1" s="1"/>
  <c r="AC306" i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C304" i="1" s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AF301" i="1"/>
  <c r="AB301" i="1"/>
  <c r="AA301" i="1"/>
  <c r="T301" i="1"/>
  <c r="U301" i="1" s="1"/>
  <c r="W301" i="1" s="1"/>
  <c r="X301" i="1" s="1"/>
  <c r="Y301" i="1" s="1"/>
  <c r="AF300" i="1"/>
  <c r="AG300" i="1" s="1"/>
  <c r="AB300" i="1"/>
  <c r="AC300" i="1" s="1"/>
  <c r="AA300" i="1"/>
  <c r="T300" i="1"/>
  <c r="U300" i="1" s="1"/>
  <c r="W300" i="1" s="1"/>
  <c r="X300" i="1" s="1"/>
  <c r="AF299" i="1"/>
  <c r="AB299" i="1"/>
  <c r="AC299" i="1" s="1"/>
  <c r="AA299" i="1"/>
  <c r="T299" i="1"/>
  <c r="U299" i="1" s="1"/>
  <c r="W299" i="1" s="1"/>
  <c r="X299" i="1" s="1"/>
  <c r="Y299" i="1" s="1"/>
  <c r="AF298" i="1"/>
  <c r="AG298" i="1" s="1"/>
  <c r="AB298" i="1"/>
  <c r="AC298" i="1" s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X297" i="1" s="1"/>
  <c r="AF296" i="1"/>
  <c r="AG296" i="1" s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X293" i="1" s="1"/>
  <c r="Y293" i="1" s="1"/>
  <c r="AF292" i="1"/>
  <c r="AB292" i="1"/>
  <c r="AA292" i="1"/>
  <c r="T292" i="1"/>
  <c r="U292" i="1" s="1"/>
  <c r="W292" i="1" s="1"/>
  <c r="X292" i="1" s="1"/>
  <c r="AF291" i="1"/>
  <c r="AB291" i="1"/>
  <c r="AC291" i="1" s="1"/>
  <c r="AA291" i="1"/>
  <c r="T291" i="1"/>
  <c r="U291" i="1" s="1"/>
  <c r="W291" i="1" s="1"/>
  <c r="AF290" i="1"/>
  <c r="AG290" i="1" s="1"/>
  <c r="AB290" i="1"/>
  <c r="AA290" i="1"/>
  <c r="T290" i="1"/>
  <c r="U290" i="1"/>
  <c r="W290" i="1" s="1"/>
  <c r="X290" i="1" s="1"/>
  <c r="AF289" i="1"/>
  <c r="AC289" i="1"/>
  <c r="AB289" i="1"/>
  <c r="AG289" i="1" s="1"/>
  <c r="AA289" i="1"/>
  <c r="T289" i="1"/>
  <c r="U289" i="1" s="1"/>
  <c r="W289" i="1" s="1"/>
  <c r="AF288" i="1"/>
  <c r="Z288" i="1"/>
  <c r="T288" i="1"/>
  <c r="U288" i="1" s="1"/>
  <c r="W288" i="1" s="1"/>
  <c r="X288" i="1" s="1"/>
  <c r="AF287" i="1"/>
  <c r="AB287" i="1"/>
  <c r="AA287" i="1"/>
  <c r="T287" i="1"/>
  <c r="U287" i="1" s="1"/>
  <c r="W287" i="1" s="1"/>
  <c r="AF286" i="1"/>
  <c r="AB286" i="1"/>
  <c r="AC286" i="1"/>
  <c r="AA286" i="1"/>
  <c r="T286" i="1"/>
  <c r="U286" i="1" s="1"/>
  <c r="W286" i="1" s="1"/>
  <c r="X286" i="1" s="1"/>
  <c r="Y286" i="1" s="1"/>
  <c r="AF285" i="1"/>
  <c r="AG285" i="1" s="1"/>
  <c r="AC285" i="1"/>
  <c r="AA285" i="1"/>
  <c r="T285" i="1"/>
  <c r="U285" i="1" s="1"/>
  <c r="W285" i="1"/>
  <c r="X285" i="1" s="1"/>
  <c r="AF284" i="1"/>
  <c r="AB284" i="1"/>
  <c r="AC284" i="1" s="1"/>
  <c r="AA284" i="1"/>
  <c r="T284" i="1"/>
  <c r="U284" i="1" s="1"/>
  <c r="W284" i="1" s="1"/>
  <c r="AF283" i="1"/>
  <c r="AG283" i="1" s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X282" i="1" s="1"/>
  <c r="Y282" i="1" s="1"/>
  <c r="AF281" i="1"/>
  <c r="AG281" i="1" s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X279" i="1" s="1"/>
  <c r="AF278" i="1"/>
  <c r="AC278" i="1"/>
  <c r="AB278" i="1"/>
  <c r="AA278" i="1"/>
  <c r="T278" i="1"/>
  <c r="U278" i="1" s="1"/>
  <c r="W278" i="1" s="1"/>
  <c r="X278" i="1" s="1"/>
  <c r="AF277" i="1"/>
  <c r="AB277" i="1"/>
  <c r="AC277" i="1" s="1"/>
  <c r="AA277" i="1"/>
  <c r="T277" i="1"/>
  <c r="U277" i="1" s="1"/>
  <c r="W277" i="1" s="1"/>
  <c r="X277" i="1" s="1"/>
  <c r="Y277" i="1" s="1"/>
  <c r="AF276" i="1"/>
  <c r="AB276" i="1"/>
  <c r="AC276" i="1"/>
  <c r="AA276" i="1"/>
  <c r="T276" i="1"/>
  <c r="U276" i="1" s="1"/>
  <c r="W276" i="1" s="1"/>
  <c r="X276" i="1" s="1"/>
  <c r="Y276" i="1" s="1"/>
  <c r="AF275" i="1"/>
  <c r="AC275" i="1"/>
  <c r="AA275" i="1"/>
  <c r="T275" i="1"/>
  <c r="U275" i="1" s="1"/>
  <c r="W275" i="1" s="1"/>
  <c r="AF274" i="1"/>
  <c r="AB274" i="1"/>
  <c r="AA274" i="1"/>
  <c r="T274" i="1"/>
  <c r="U274" i="1" s="1"/>
  <c r="W274" i="1" s="1"/>
  <c r="X274" i="1" s="1"/>
  <c r="Y274" i="1" s="1"/>
  <c r="AF273" i="1"/>
  <c r="AB273" i="1"/>
  <c r="AC273" i="1" s="1"/>
  <c r="AA273" i="1"/>
  <c r="T273" i="1"/>
  <c r="U273" i="1" s="1"/>
  <c r="W273" i="1" s="1"/>
  <c r="X273" i="1" s="1"/>
  <c r="AF272" i="1"/>
  <c r="AB272" i="1"/>
  <c r="AC272" i="1" s="1"/>
  <c r="AA272" i="1"/>
  <c r="T272" i="1"/>
  <c r="U272" i="1" s="1"/>
  <c r="W272" i="1" s="1"/>
  <c r="X272" i="1" s="1"/>
  <c r="Y272" i="1" s="1"/>
  <c r="AF271" i="1"/>
  <c r="AB271" i="1"/>
  <c r="AC271" i="1" s="1"/>
  <c r="AA271" i="1"/>
  <c r="T271" i="1"/>
  <c r="U271" i="1" s="1"/>
  <c r="W271" i="1" s="1"/>
  <c r="X271" i="1" s="1"/>
  <c r="Y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X267" i="1" s="1"/>
  <c r="AF266" i="1"/>
  <c r="AB266" i="1"/>
  <c r="AC266" i="1"/>
  <c r="AA266" i="1"/>
  <c r="T266" i="1"/>
  <c r="U266" i="1" s="1"/>
  <c r="W266" i="1" s="1"/>
  <c r="AF265" i="1"/>
  <c r="AB265" i="1"/>
  <c r="AC265" i="1" s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/>
  <c r="W263" i="1" s="1"/>
  <c r="AF262" i="1"/>
  <c r="AG262" i="1" s="1"/>
  <c r="AB262" i="1"/>
  <c r="AC262" i="1" s="1"/>
  <c r="AA262" i="1"/>
  <c r="T262" i="1"/>
  <c r="U262" i="1" s="1"/>
  <c r="W262" i="1" s="1"/>
  <c r="X262" i="1" s="1"/>
  <c r="AF261" i="1"/>
  <c r="AB261" i="1"/>
  <c r="AA261" i="1"/>
  <c r="T261" i="1"/>
  <c r="U261" i="1" s="1"/>
  <c r="W261" i="1" s="1"/>
  <c r="AF260" i="1"/>
  <c r="AG260" i="1" s="1"/>
  <c r="AB260" i="1"/>
  <c r="AC260" i="1" s="1"/>
  <c r="AA260" i="1"/>
  <c r="T260" i="1"/>
  <c r="U260" i="1" s="1"/>
  <c r="W260" i="1" s="1"/>
  <c r="X260" i="1" s="1"/>
  <c r="Y260" i="1" s="1"/>
  <c r="AF259" i="1"/>
  <c r="AA259" i="1"/>
  <c r="T259" i="1"/>
  <c r="U259" i="1" s="1"/>
  <c r="W259" i="1" s="1"/>
  <c r="X259" i="1" s="1"/>
  <c r="Y259" i="1" s="1"/>
  <c r="AF258" i="1"/>
  <c r="AB258" i="1"/>
  <c r="AC258" i="1" s="1"/>
  <c r="AA258" i="1"/>
  <c r="T258" i="1"/>
  <c r="U258" i="1"/>
  <c r="W258" i="1" s="1"/>
  <c r="AF257" i="1"/>
  <c r="AB257" i="1"/>
  <c r="AA257" i="1"/>
  <c r="T257" i="1"/>
  <c r="U257" i="1" s="1"/>
  <c r="W257" i="1" s="1"/>
  <c r="X257" i="1" s="1"/>
  <c r="Y257" i="1" s="1"/>
  <c r="AF256" i="1"/>
  <c r="AG256" i="1" s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G254" i="1" s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X253" i="1" s="1"/>
  <c r="Y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C248" i="1" s="1"/>
  <c r="AA248" i="1"/>
  <c r="T248" i="1"/>
  <c r="U248" i="1" s="1"/>
  <c r="W248" i="1" s="1"/>
  <c r="X248" i="1" s="1"/>
  <c r="AF247" i="1"/>
  <c r="AB247" i="1"/>
  <c r="AC247" i="1"/>
  <c r="AA247" i="1"/>
  <c r="T247" i="1"/>
  <c r="U247" i="1" s="1"/>
  <c r="W247" i="1" s="1"/>
  <c r="AF246" i="1"/>
  <c r="AG246" i="1" s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G244" i="1" s="1"/>
  <c r="T244" i="1"/>
  <c r="U244" i="1" s="1"/>
  <c r="W244" i="1" s="1"/>
  <c r="AF243" i="1"/>
  <c r="AB243" i="1"/>
  <c r="AC243" i="1" s="1"/>
  <c r="AA243" i="1"/>
  <c r="T243" i="1"/>
  <c r="U243" i="1" s="1"/>
  <c r="W243" i="1" s="1"/>
  <c r="AF242" i="1"/>
  <c r="AB242" i="1"/>
  <c r="AA242" i="1"/>
  <c r="T242" i="1"/>
  <c r="U242" i="1" s="1"/>
  <c r="W242" i="1" s="1"/>
  <c r="X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AF238" i="1"/>
  <c r="AB238" i="1"/>
  <c r="AA238" i="1"/>
  <c r="T238" i="1"/>
  <c r="U238" i="1" s="1"/>
  <c r="W238" i="1" s="1"/>
  <c r="X238" i="1" s="1"/>
  <c r="Y238" i="1" s="1"/>
  <c r="AF237" i="1"/>
  <c r="AB237" i="1"/>
  <c r="AC237" i="1" s="1"/>
  <c r="AA237" i="1"/>
  <c r="T237" i="1"/>
  <c r="U237" i="1"/>
  <c r="W237" i="1" s="1"/>
  <c r="X237" i="1" s="1"/>
  <c r="Y237" i="1" s="1"/>
  <c r="AF236" i="1"/>
  <c r="AB236" i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G234" i="1" s="1"/>
  <c r="AB234" i="1"/>
  <c r="AC234" i="1" s="1"/>
  <c r="AA234" i="1"/>
  <c r="T234" i="1"/>
  <c r="U234" i="1" s="1"/>
  <c r="W234" i="1" s="1"/>
  <c r="AF233" i="1"/>
  <c r="AB233" i="1"/>
  <c r="AC233" i="1" s="1"/>
  <c r="AA233" i="1"/>
  <c r="T233" i="1"/>
  <c r="U233" i="1"/>
  <c r="W233" i="1" s="1"/>
  <c r="X233" i="1" s="1"/>
  <c r="Y233" i="1" s="1"/>
  <c r="AF232" i="1"/>
  <c r="AB232" i="1"/>
  <c r="AC232" i="1" s="1"/>
  <c r="AA232" i="1"/>
  <c r="T232" i="1"/>
  <c r="U232" i="1" s="1"/>
  <c r="W232" i="1" s="1"/>
  <c r="X232" i="1" s="1"/>
  <c r="Y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C229" i="1" s="1"/>
  <c r="AA229" i="1"/>
  <c r="T229" i="1"/>
  <c r="U229" i="1" s="1"/>
  <c r="W229" i="1" s="1"/>
  <c r="AF228" i="1"/>
  <c r="AB228" i="1"/>
  <c r="AC228" i="1" s="1"/>
  <c r="AA228" i="1"/>
  <c r="T228" i="1"/>
  <c r="U228" i="1" s="1"/>
  <c r="W228" i="1" s="1"/>
  <c r="AF227" i="1"/>
  <c r="AB227" i="1"/>
  <c r="AA227" i="1"/>
  <c r="T227" i="1"/>
  <c r="U227" i="1" s="1"/>
  <c r="W227" i="1" s="1"/>
  <c r="AF226" i="1"/>
  <c r="AB226" i="1"/>
  <c r="AG226" i="1" s="1"/>
  <c r="AA226" i="1"/>
  <c r="T226" i="1"/>
  <c r="U226" i="1" s="1"/>
  <c r="W226" i="1" s="1"/>
  <c r="AF225" i="1"/>
  <c r="AG225" i="1" s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Y224" i="1" s="1"/>
  <c r="AF223" i="1"/>
  <c r="AB223" i="1"/>
  <c r="AA223" i="1"/>
  <c r="T223" i="1"/>
  <c r="U223" i="1"/>
  <c r="W223" i="1" s="1"/>
  <c r="AF222" i="1"/>
  <c r="AB222" i="1"/>
  <c r="AC222" i="1" s="1"/>
  <c r="AA222" i="1"/>
  <c r="T222" i="1"/>
  <c r="U222" i="1" s="1"/>
  <c r="W222" i="1" s="1"/>
  <c r="AF221" i="1"/>
  <c r="AB221" i="1"/>
  <c r="AC221" i="1" s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A218" i="1"/>
  <c r="T218" i="1"/>
  <c r="U218" i="1" s="1"/>
  <c r="W218" i="1" s="1"/>
  <c r="AF217" i="1"/>
  <c r="AB217" i="1"/>
  <c r="AA217" i="1"/>
  <c r="T217" i="1"/>
  <c r="U217" i="1" s="1"/>
  <c r="W217" i="1" s="1"/>
  <c r="AF216" i="1"/>
  <c r="AB216" i="1"/>
  <c r="AC216" i="1" s="1"/>
  <c r="AA216" i="1"/>
  <c r="T216" i="1"/>
  <c r="U216" i="1" s="1"/>
  <c r="W216" i="1" s="1"/>
  <c r="AF215" i="1"/>
  <c r="AG215" i="1" s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X214" i="1" s="1"/>
  <c r="AF213" i="1"/>
  <c r="AG213" i="1" s="1"/>
  <c r="AB213" i="1"/>
  <c r="AA213" i="1"/>
  <c r="T213" i="1"/>
  <c r="U213" i="1" s="1"/>
  <c r="W213" i="1" s="1"/>
  <c r="X213" i="1" s="1"/>
  <c r="AF212" i="1"/>
  <c r="AG212" i="1" s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X210" i="1" s="1"/>
  <c r="Y210" i="1" s="1"/>
  <c r="AF209" i="1"/>
  <c r="AG209" i="1" s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Y208" i="1" s="1"/>
  <c r="AF207" i="1"/>
  <c r="AG207" i="1" s="1"/>
  <c r="AB207" i="1"/>
  <c r="AC207" i="1" s="1"/>
  <c r="T207" i="1"/>
  <c r="U207" i="1" s="1"/>
  <c r="W207" i="1" s="1"/>
  <c r="AF206" i="1"/>
  <c r="AB206" i="1"/>
  <c r="AA206" i="1"/>
  <c r="T206" i="1"/>
  <c r="U206" i="1" s="1"/>
  <c r="W206" i="1" s="1"/>
  <c r="AF205" i="1"/>
  <c r="AB205" i="1"/>
  <c r="AA205" i="1"/>
  <c r="T205" i="1"/>
  <c r="U205" i="1" s="1"/>
  <c r="W205" i="1" s="1"/>
  <c r="X205" i="1" s="1"/>
  <c r="Y205" i="1" s="1"/>
  <c r="AF204" i="1"/>
  <c r="AB204" i="1"/>
  <c r="AC204" i="1" s="1"/>
  <c r="AA204" i="1"/>
  <c r="T204" i="1"/>
  <c r="U204" i="1" s="1"/>
  <c r="W204" i="1" s="1"/>
  <c r="AF203" i="1"/>
  <c r="AB203" i="1"/>
  <c r="AA203" i="1"/>
  <c r="T203" i="1"/>
  <c r="U203" i="1" s="1"/>
  <c r="W203" i="1" s="1"/>
  <c r="X203" i="1" s="1"/>
  <c r="AB202" i="1"/>
  <c r="AC202" i="1"/>
  <c r="AA202" i="1"/>
  <c r="Z202" i="1"/>
  <c r="AD202" i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X199" i="1" s="1"/>
  <c r="Y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X197" i="1" s="1"/>
  <c r="Y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X195" i="1" s="1"/>
  <c r="Y195" i="1" s="1"/>
  <c r="AF194" i="1"/>
  <c r="AB194" i="1"/>
  <c r="AA194" i="1"/>
  <c r="T194" i="1"/>
  <c r="U194" i="1" s="1"/>
  <c r="W194" i="1" s="1"/>
  <c r="AF193" i="1"/>
  <c r="AB193" i="1"/>
  <c r="AC193" i="1" s="1"/>
  <c r="AA193" i="1"/>
  <c r="T193" i="1"/>
  <c r="U193" i="1" s="1"/>
  <c r="W193" i="1" s="1"/>
  <c r="X193" i="1" s="1"/>
  <c r="Y193" i="1" s="1"/>
  <c r="AF192" i="1"/>
  <c r="AB192" i="1"/>
  <c r="AC192" i="1" s="1"/>
  <c r="AA192" i="1"/>
  <c r="T192" i="1"/>
  <c r="U192" i="1" s="1"/>
  <c r="W192" i="1" s="1"/>
  <c r="AF191" i="1"/>
  <c r="AB191" i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G188" i="1" s="1"/>
  <c r="AA188" i="1"/>
  <c r="T188" i="1"/>
  <c r="U188" i="1" s="1"/>
  <c r="W188" i="1" s="1"/>
  <c r="AF187" i="1"/>
  <c r="AB187" i="1"/>
  <c r="AA187" i="1"/>
  <c r="T187" i="1"/>
  <c r="U187" i="1" s="1"/>
  <c r="W187" i="1"/>
  <c r="AF186" i="1"/>
  <c r="AG186" i="1" s="1"/>
  <c r="AB186" i="1"/>
  <c r="AA186" i="1"/>
  <c r="T186" i="1"/>
  <c r="U186" i="1" s="1"/>
  <c r="W186" i="1" s="1"/>
  <c r="AF185" i="1"/>
  <c r="AB185" i="1"/>
  <c r="AC185" i="1" s="1"/>
  <c r="AA185" i="1"/>
  <c r="T185" i="1"/>
  <c r="U185" i="1" s="1"/>
  <c r="W185" i="1" s="1"/>
  <c r="X185" i="1" s="1"/>
  <c r="Y185" i="1" s="1"/>
  <c r="AF184" i="1"/>
  <c r="AB184" i="1"/>
  <c r="AA184" i="1"/>
  <c r="T184" i="1"/>
  <c r="U184" i="1" s="1"/>
  <c r="W184" i="1" s="1"/>
  <c r="AF183" i="1"/>
  <c r="AB183" i="1"/>
  <c r="AC183" i="1" s="1"/>
  <c r="AA183" i="1"/>
  <c r="T183" i="1"/>
  <c r="U183" i="1" s="1"/>
  <c r="W183" i="1" s="1"/>
  <c r="AF182" i="1"/>
  <c r="AB182" i="1"/>
  <c r="AA182" i="1"/>
  <c r="T182" i="1"/>
  <c r="U182" i="1" s="1"/>
  <c r="W182" i="1" s="1"/>
  <c r="X182" i="1" s="1"/>
  <c r="Y182" i="1" s="1"/>
  <c r="AF181" i="1"/>
  <c r="AG181" i="1" s="1"/>
  <c r="AB181" i="1"/>
  <c r="AC181" i="1" s="1"/>
  <c r="AA181" i="1"/>
  <c r="T181" i="1"/>
  <c r="U181" i="1" s="1"/>
  <c r="W181" i="1" s="1"/>
  <c r="X181" i="1" s="1"/>
  <c r="AF180" i="1"/>
  <c r="AB180" i="1"/>
  <c r="AA180" i="1"/>
  <c r="T180" i="1"/>
  <c r="U180" i="1"/>
  <c r="W180" i="1" s="1"/>
  <c r="X180" i="1" s="1"/>
  <c r="Y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AF177" i="1"/>
  <c r="AB177" i="1"/>
  <c r="AA177" i="1"/>
  <c r="T177" i="1"/>
  <c r="U177" i="1" s="1"/>
  <c r="W177" i="1" s="1"/>
  <c r="AF176" i="1"/>
  <c r="AA176" i="1"/>
  <c r="T176" i="1"/>
  <c r="U176" i="1" s="1"/>
  <c r="W176" i="1" s="1"/>
  <c r="AF175" i="1"/>
  <c r="AG175" i="1" s="1"/>
  <c r="AB175" i="1"/>
  <c r="AC175" i="1" s="1"/>
  <c r="AA175" i="1"/>
  <c r="T175" i="1"/>
  <c r="U175" i="1" s="1"/>
  <c r="W175" i="1" s="1"/>
  <c r="X175" i="1" s="1"/>
  <c r="AF174" i="1"/>
  <c r="AB174" i="1"/>
  <c r="AC174" i="1" s="1"/>
  <c r="AA174" i="1"/>
  <c r="T174" i="1"/>
  <c r="U174" i="1" s="1"/>
  <c r="W174" i="1" s="1"/>
  <c r="X174" i="1" s="1"/>
  <c r="AF173" i="1"/>
  <c r="AG173" i="1" s="1"/>
  <c r="AB173" i="1"/>
  <c r="AC173" i="1" s="1"/>
  <c r="AA173" i="1"/>
  <c r="T173" i="1"/>
  <c r="U173" i="1" s="1"/>
  <c r="W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X171" i="1" s="1"/>
  <c r="Y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X169" i="1" s="1"/>
  <c r="Y169" i="1" s="1"/>
  <c r="AF168" i="1"/>
  <c r="AB168" i="1"/>
  <c r="AA168" i="1"/>
  <c r="T168" i="1"/>
  <c r="U168" i="1" s="1"/>
  <c r="W168" i="1" s="1"/>
  <c r="X168" i="1" s="1"/>
  <c r="AF167" i="1"/>
  <c r="AG167" i="1" s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/>
  <c r="W166" i="1" s="1"/>
  <c r="X166" i="1" s="1"/>
  <c r="Y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X164" i="1" s="1"/>
  <c r="Y164" i="1" s="1"/>
  <c r="AF163" i="1"/>
  <c r="AB163" i="1"/>
  <c r="AC163" i="1" s="1"/>
  <c r="AA163" i="1"/>
  <c r="T163" i="1"/>
  <c r="U163" i="1" s="1"/>
  <c r="W163" i="1" s="1"/>
  <c r="X163" i="1" s="1"/>
  <c r="AF162" i="1"/>
  <c r="AG162" i="1" s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X161" i="1" s="1"/>
  <c r="Y161" i="1" s="1"/>
  <c r="AF160" i="1"/>
  <c r="AA160" i="1"/>
  <c r="T160" i="1"/>
  <c r="U160" i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G157" i="1" s="1"/>
  <c r="AB157" i="1"/>
  <c r="AC157" i="1" s="1"/>
  <c r="AA157" i="1"/>
  <c r="T157" i="1"/>
  <c r="U157" i="1" s="1"/>
  <c r="W157" i="1" s="1"/>
  <c r="AF156" i="1"/>
  <c r="AG156" i="1" s="1"/>
  <c r="AA156" i="1"/>
  <c r="T156" i="1"/>
  <c r="U156" i="1" s="1"/>
  <c r="W156" i="1" s="1"/>
  <c r="AF155" i="1"/>
  <c r="AG155" i="1" s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AF153" i="1"/>
  <c r="AG153" i="1" s="1"/>
  <c r="AB153" i="1"/>
  <c r="AC153" i="1" s="1"/>
  <c r="AA153" i="1"/>
  <c r="T153" i="1"/>
  <c r="U153" i="1" s="1"/>
  <c r="W153" i="1" s="1"/>
  <c r="X153" i="1" s="1"/>
  <c r="Y153" i="1" s="1"/>
  <c r="AF152" i="1"/>
  <c r="AB152" i="1"/>
  <c r="AA152" i="1"/>
  <c r="T152" i="1"/>
  <c r="U152" i="1"/>
  <c r="W152" i="1" s="1"/>
  <c r="AF151" i="1"/>
  <c r="AB151" i="1"/>
  <c r="AC151" i="1" s="1"/>
  <c r="AA151" i="1"/>
  <c r="T151" i="1"/>
  <c r="U151" i="1" s="1"/>
  <c r="W151" i="1" s="1"/>
  <c r="X151" i="1" s="1"/>
  <c r="Y151" i="1" s="1"/>
  <c r="AF150" i="1"/>
  <c r="AB150" i="1"/>
  <c r="AA150" i="1"/>
  <c r="T150" i="1"/>
  <c r="U150" i="1" s="1"/>
  <c r="W150" i="1" s="1"/>
  <c r="AF149" i="1"/>
  <c r="AB149" i="1"/>
  <c r="AC149" i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/>
  <c r="W146" i="1" s="1"/>
  <c r="AF145" i="1"/>
  <c r="AG145" i="1" s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X144" i="1" s="1"/>
  <c r="Y144" i="1" s="1"/>
  <c r="AF143" i="1"/>
  <c r="AB143" i="1"/>
  <c r="AC143" i="1" s="1"/>
  <c r="AA143" i="1"/>
  <c r="T143" i="1"/>
  <c r="U143" i="1" s="1"/>
  <c r="W143" i="1" s="1"/>
  <c r="AF142" i="1"/>
  <c r="AA142" i="1"/>
  <c r="T142" i="1"/>
  <c r="U142" i="1" s="1"/>
  <c r="W142" i="1" s="1"/>
  <c r="AF141" i="1"/>
  <c r="AG141" i="1" s="1"/>
  <c r="AC141" i="1"/>
  <c r="AA141" i="1"/>
  <c r="T141" i="1"/>
  <c r="U141" i="1" s="1"/>
  <c r="W141" i="1" s="1"/>
  <c r="AF140" i="1"/>
  <c r="AB140" i="1"/>
  <c r="AA140" i="1"/>
  <c r="T140" i="1"/>
  <c r="U140" i="1" s="1"/>
  <c r="W140" i="1" s="1"/>
  <c r="X140" i="1" s="1"/>
  <c r="Y140" i="1" s="1"/>
  <c r="AF139" i="1"/>
  <c r="AG139" i="1" s="1"/>
  <c r="AB139" i="1"/>
  <c r="AC139" i="1" s="1"/>
  <c r="AA139" i="1"/>
  <c r="T139" i="1"/>
  <c r="U139" i="1" s="1"/>
  <c r="W139" i="1" s="1"/>
  <c r="X139" i="1" s="1"/>
  <c r="AF138" i="1"/>
  <c r="AA138" i="1"/>
  <c r="T138" i="1"/>
  <c r="U138" i="1" s="1"/>
  <c r="W138" i="1" s="1"/>
  <c r="X138" i="1" s="1"/>
  <c r="AF137" i="1"/>
  <c r="AB137" i="1"/>
  <c r="AA137" i="1"/>
  <c r="T137" i="1"/>
  <c r="U137" i="1" s="1"/>
  <c r="W137" i="1" s="1"/>
  <c r="X137" i="1" s="1"/>
  <c r="Y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C132" i="1" s="1"/>
  <c r="AA132" i="1"/>
  <c r="T132" i="1"/>
  <c r="U132" i="1" s="1"/>
  <c r="W132" i="1" s="1"/>
  <c r="AF131" i="1"/>
  <c r="AB131" i="1"/>
  <c r="AA131" i="1"/>
  <c r="T131" i="1"/>
  <c r="U131" i="1" s="1"/>
  <c r="W131" i="1" s="1"/>
  <c r="X131" i="1" s="1"/>
  <c r="Y131" i="1" s="1"/>
  <c r="AF130" i="1"/>
  <c r="AB130" i="1"/>
  <c r="AA130" i="1"/>
  <c r="T130" i="1"/>
  <c r="U130" i="1" s="1"/>
  <c r="W130" i="1"/>
  <c r="AF129" i="1"/>
  <c r="AG129" i="1" s="1"/>
  <c r="AB129" i="1"/>
  <c r="AC129" i="1" s="1"/>
  <c r="AA129" i="1"/>
  <c r="T129" i="1"/>
  <c r="U129" i="1" s="1"/>
  <c r="W129" i="1" s="1"/>
  <c r="X129" i="1" s="1"/>
  <c r="Y129" i="1" s="1"/>
  <c r="AF128" i="1"/>
  <c r="AB128" i="1"/>
  <c r="AG128" i="1" s="1"/>
  <c r="AA128" i="1"/>
  <c r="T128" i="1"/>
  <c r="U128" i="1" s="1"/>
  <c r="W128" i="1" s="1"/>
  <c r="AF127" i="1"/>
  <c r="AG127" i="1" s="1"/>
  <c r="AB127" i="1"/>
  <c r="AC127" i="1" s="1"/>
  <c r="AA127" i="1"/>
  <c r="T127" i="1"/>
  <c r="U127" i="1" s="1"/>
  <c r="W127" i="1" s="1"/>
  <c r="X127" i="1" s="1"/>
  <c r="AF126" i="1"/>
  <c r="AB126" i="1"/>
  <c r="AG126" i="1" s="1"/>
  <c r="AA126" i="1"/>
  <c r="T126" i="1"/>
  <c r="U126" i="1" s="1"/>
  <c r="W126" i="1" s="1"/>
  <c r="X126" i="1" s="1"/>
  <c r="Y126" i="1" s="1"/>
  <c r="AF125" i="1"/>
  <c r="AB125" i="1"/>
  <c r="AA125" i="1"/>
  <c r="T125" i="1"/>
  <c r="U125" i="1" s="1"/>
  <c r="W125" i="1" s="1"/>
  <c r="AF124" i="1"/>
  <c r="AB124" i="1"/>
  <c r="AG124" i="1" s="1"/>
  <c r="AA124" i="1"/>
  <c r="T124" i="1"/>
  <c r="U124" i="1" s="1"/>
  <c r="W124" i="1" s="1"/>
  <c r="X124" i="1" s="1"/>
  <c r="Y124" i="1" s="1"/>
  <c r="AF123" i="1"/>
  <c r="AG123" i="1" s="1"/>
  <c r="AC123" i="1"/>
  <c r="AA123" i="1"/>
  <c r="T123" i="1"/>
  <c r="U123" i="1" s="1"/>
  <c r="W123" i="1" s="1"/>
  <c r="X123" i="1" s="1"/>
  <c r="Y123" i="1" s="1"/>
  <c r="AF122" i="1"/>
  <c r="AB122" i="1"/>
  <c r="AC122" i="1" s="1"/>
  <c r="AA122" i="1"/>
  <c r="T122" i="1"/>
  <c r="U122" i="1" s="1"/>
  <c r="W122" i="1" s="1"/>
  <c r="X122" i="1" s="1"/>
  <c r="Y122" i="1" s="1"/>
  <c r="AF121" i="1"/>
  <c r="AB121" i="1"/>
  <c r="AA121" i="1"/>
  <c r="T121" i="1"/>
  <c r="U121" i="1" s="1"/>
  <c r="W121" i="1" s="1"/>
  <c r="X121" i="1" s="1"/>
  <c r="Y121" i="1" s="1"/>
  <c r="AF120" i="1"/>
  <c r="AB120" i="1"/>
  <c r="AC120" i="1" s="1"/>
  <c r="AA120" i="1"/>
  <c r="T120" i="1"/>
  <c r="U120" i="1" s="1"/>
  <c r="W120" i="1" s="1"/>
  <c r="AF119" i="1"/>
  <c r="AG119" i="1" s="1"/>
  <c r="AB119" i="1"/>
  <c r="AC119" i="1" s="1"/>
  <c r="AA119" i="1"/>
  <c r="T119" i="1"/>
  <c r="U119" i="1"/>
  <c r="W119" i="1" s="1"/>
  <c r="X119" i="1" s="1"/>
  <c r="AF118" i="1"/>
  <c r="AG118" i="1" s="1"/>
  <c r="AB118" i="1"/>
  <c r="AC118" i="1" s="1"/>
  <c r="AA118" i="1"/>
  <c r="T118" i="1"/>
  <c r="U118" i="1" s="1"/>
  <c r="W118" i="1" s="1"/>
  <c r="AF117" i="1"/>
  <c r="AB117" i="1"/>
  <c r="AC117" i="1" s="1"/>
  <c r="AA117" i="1"/>
  <c r="T117" i="1"/>
  <c r="U117" i="1" s="1"/>
  <c r="W117" i="1" s="1"/>
  <c r="X117" i="1" s="1"/>
  <c r="AF116" i="1"/>
  <c r="AB116" i="1"/>
  <c r="AA116" i="1"/>
  <c r="T116" i="1"/>
  <c r="U116" i="1" s="1"/>
  <c r="W116" i="1" s="1"/>
  <c r="AF115" i="1"/>
  <c r="AC115" i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AF113" i="1"/>
  <c r="AB113" i="1"/>
  <c r="AC113" i="1" s="1"/>
  <c r="AA113" i="1"/>
  <c r="T113" i="1"/>
  <c r="U113" i="1" s="1"/>
  <c r="W113" i="1" s="1"/>
  <c r="X113" i="1" s="1"/>
  <c r="AF112" i="1"/>
  <c r="AB112" i="1"/>
  <c r="AA112" i="1"/>
  <c r="T112" i="1"/>
  <c r="U112" i="1" s="1"/>
  <c r="W112" i="1" s="1"/>
  <c r="X112" i="1" s="1"/>
  <c r="AF111" i="1"/>
  <c r="AB111" i="1"/>
  <c r="AC111" i="1" s="1"/>
  <c r="AA111" i="1"/>
  <c r="T111" i="1"/>
  <c r="U111" i="1" s="1"/>
  <c r="W111" i="1" s="1"/>
  <c r="X111" i="1" s="1"/>
  <c r="Y111" i="1" s="1"/>
  <c r="AF110" i="1"/>
  <c r="AB110" i="1"/>
  <c r="AG110" i="1" s="1"/>
  <c r="AA110" i="1"/>
  <c r="T110" i="1"/>
  <c r="U110" i="1" s="1"/>
  <c r="W110" i="1" s="1"/>
  <c r="X110" i="1" s="1"/>
  <c r="AF109" i="1"/>
  <c r="AB109" i="1"/>
  <c r="AA109" i="1"/>
  <c r="T109" i="1"/>
  <c r="U109" i="1" s="1"/>
  <c r="W109" i="1" s="1"/>
  <c r="AF108" i="1"/>
  <c r="AB108" i="1"/>
  <c r="AA108" i="1"/>
  <c r="T108" i="1"/>
  <c r="U108" i="1" s="1"/>
  <c r="W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AF105" i="1"/>
  <c r="AB105" i="1"/>
  <c r="AC105" i="1" s="1"/>
  <c r="AA105" i="1"/>
  <c r="T105" i="1"/>
  <c r="U105" i="1" s="1"/>
  <c r="W105" i="1" s="1"/>
  <c r="AF104" i="1"/>
  <c r="AB104" i="1"/>
  <c r="AC104" i="1" s="1"/>
  <c r="AA104" i="1"/>
  <c r="T104" i="1"/>
  <c r="U104" i="1" s="1"/>
  <c r="W104" i="1" s="1"/>
  <c r="X104" i="1" s="1"/>
  <c r="AF103" i="1"/>
  <c r="AB103" i="1"/>
  <c r="AA103" i="1"/>
  <c r="T103" i="1"/>
  <c r="U103" i="1" s="1"/>
  <c r="W103" i="1" s="1"/>
  <c r="AF102" i="1"/>
  <c r="AC102" i="1"/>
  <c r="AA102" i="1"/>
  <c r="T102" i="1"/>
  <c r="U102" i="1" s="1"/>
  <c r="W102" i="1" s="1"/>
  <c r="X102" i="1" s="1"/>
  <c r="AF101" i="1"/>
  <c r="AB101" i="1"/>
  <c r="AC101" i="1" s="1"/>
  <c r="AA101" i="1"/>
  <c r="T101" i="1"/>
  <c r="U101" i="1" s="1"/>
  <c r="W101" i="1" s="1"/>
  <c r="AF100" i="1"/>
  <c r="AG100" i="1" s="1"/>
  <c r="AC100" i="1"/>
  <c r="AA100" i="1"/>
  <c r="T100" i="1"/>
  <c r="U100" i="1" s="1"/>
  <c r="W100" i="1" s="1"/>
  <c r="AF99" i="1"/>
  <c r="AG99" i="1" s="1"/>
  <c r="AB99" i="1"/>
  <c r="AC99" i="1" s="1"/>
  <c r="AA99" i="1"/>
  <c r="T99" i="1"/>
  <c r="U99" i="1" s="1"/>
  <c r="W99" i="1" s="1"/>
  <c r="X99" i="1" s="1"/>
  <c r="AF98" i="1"/>
  <c r="AG98" i="1" s="1"/>
  <c r="AC98" i="1"/>
  <c r="AA98" i="1"/>
  <c r="T98" i="1"/>
  <c r="U98" i="1" s="1"/>
  <c r="W98" i="1" s="1"/>
  <c r="X98" i="1" s="1"/>
  <c r="Y98" i="1" s="1"/>
  <c r="AF97" i="1"/>
  <c r="AB97" i="1"/>
  <c r="AA97" i="1"/>
  <c r="T97" i="1"/>
  <c r="U97" i="1" s="1"/>
  <c r="W97" i="1" s="1"/>
  <c r="X97" i="1" s="1"/>
  <c r="Y97" i="1" s="1"/>
  <c r="AF96" i="1"/>
  <c r="AB96" i="1"/>
  <c r="AA96" i="1"/>
  <c r="T96" i="1"/>
  <c r="U96" i="1" s="1"/>
  <c r="W96" i="1" s="1"/>
  <c r="X96" i="1" s="1"/>
  <c r="Y96" i="1" s="1"/>
  <c r="AF95" i="1"/>
  <c r="AB95" i="1"/>
  <c r="AG95" i="1" s="1"/>
  <c r="AC95" i="1"/>
  <c r="AA95" i="1"/>
  <c r="T95" i="1"/>
  <c r="U95" i="1" s="1"/>
  <c r="W95" i="1" s="1"/>
  <c r="X95" i="1" s="1"/>
  <c r="AF94" i="1"/>
  <c r="AB94" i="1"/>
  <c r="AC94" i="1" s="1"/>
  <c r="AA94" i="1"/>
  <c r="T94" i="1"/>
  <c r="U94" i="1" s="1"/>
  <c r="W94" i="1" s="1"/>
  <c r="X94" i="1" s="1"/>
  <c r="AF93" i="1"/>
  <c r="AB93" i="1"/>
  <c r="AC93" i="1" s="1"/>
  <c r="AA93" i="1"/>
  <c r="T93" i="1"/>
  <c r="U93" i="1" s="1"/>
  <c r="W93" i="1" s="1"/>
  <c r="AF92" i="1"/>
  <c r="AB92" i="1"/>
  <c r="AC92" i="1" s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AF90" i="1"/>
  <c r="AB90" i="1"/>
  <c r="AC90" i="1" s="1"/>
  <c r="AA90" i="1"/>
  <c r="T90" i="1"/>
  <c r="U90" i="1"/>
  <c r="W90" i="1" s="1"/>
  <c r="X90" i="1" s="1"/>
  <c r="Y90" i="1" s="1"/>
  <c r="AF89" i="1"/>
  <c r="AB89" i="1"/>
  <c r="AC89" i="1" s="1"/>
  <c r="AA89" i="1"/>
  <c r="T89" i="1"/>
  <c r="U89" i="1" s="1"/>
  <c r="W89" i="1" s="1"/>
  <c r="X89" i="1" s="1"/>
  <c r="Y89" i="1" s="1"/>
  <c r="AF88" i="1"/>
  <c r="AB88" i="1"/>
  <c r="AC88" i="1" s="1"/>
  <c r="AA88" i="1"/>
  <c r="T88" i="1"/>
  <c r="U88" i="1" s="1"/>
  <c r="W88" i="1" s="1"/>
  <c r="X88" i="1" s="1"/>
  <c r="Y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C85" i="1"/>
  <c r="AA85" i="1"/>
  <c r="T85" i="1"/>
  <c r="U85" i="1" s="1"/>
  <c r="W85" i="1" s="1"/>
  <c r="X85" i="1" s="1"/>
  <c r="Y85" i="1" s="1"/>
  <c r="AF84" i="1"/>
  <c r="AB84" i="1"/>
  <c r="AC84" i="1" s="1"/>
  <c r="AA84" i="1"/>
  <c r="T84" i="1"/>
  <c r="U84" i="1" s="1"/>
  <c r="W84" i="1" s="1"/>
  <c r="X84" i="1" s="1"/>
  <c r="Y84" i="1" s="1"/>
  <c r="AF83" i="1"/>
  <c r="AB83" i="1"/>
  <c r="AC83" i="1" s="1"/>
  <c r="AA83" i="1"/>
  <c r="T83" i="1"/>
  <c r="U83" i="1" s="1"/>
  <c r="W83" i="1" s="1"/>
  <c r="X83" i="1" s="1"/>
  <c r="AF82" i="1"/>
  <c r="AC82" i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X80" i="1" s="1"/>
  <c r="Y80" i="1" s="1"/>
  <c r="AD79" i="1"/>
  <c r="AF79" i="1" s="1"/>
  <c r="AB79" i="1"/>
  <c r="AC79" i="1" s="1"/>
  <c r="AA79" i="1"/>
  <c r="T79" i="1"/>
  <c r="U79" i="1" s="1"/>
  <c r="W79" i="1" s="1"/>
  <c r="AF78" i="1"/>
  <c r="AC78" i="1"/>
  <c r="AA78" i="1"/>
  <c r="T78" i="1"/>
  <c r="U78" i="1" s="1"/>
  <c r="W78" i="1" s="1"/>
  <c r="AF77" i="1"/>
  <c r="AB77" i="1"/>
  <c r="AC77" i="1" s="1"/>
  <c r="AA77" i="1"/>
  <c r="T77" i="1"/>
  <c r="U77" i="1" s="1"/>
  <c r="W77" i="1"/>
  <c r="X77" i="1" s="1"/>
  <c r="AF76" i="1"/>
  <c r="AB76" i="1"/>
  <c r="AC76" i="1" s="1"/>
  <c r="AA76" i="1"/>
  <c r="T76" i="1"/>
  <c r="U76" i="1" s="1"/>
  <c r="W76" i="1" s="1"/>
  <c r="X76" i="1" s="1"/>
  <c r="Y76" i="1" s="1"/>
  <c r="AF75" i="1"/>
  <c r="AB75" i="1"/>
  <c r="AC75" i="1"/>
  <c r="AA75" i="1"/>
  <c r="T75" i="1"/>
  <c r="U75" i="1" s="1"/>
  <c r="W75" i="1" s="1"/>
  <c r="X75" i="1" s="1"/>
  <c r="AF74" i="1"/>
  <c r="AB74" i="1"/>
  <c r="AC74" i="1" s="1"/>
  <c r="AA74" i="1"/>
  <c r="T74" i="1"/>
  <c r="U74" i="1" s="1"/>
  <c r="W74" i="1" s="1"/>
  <c r="AF73" i="1"/>
  <c r="AC73" i="1"/>
  <c r="AA73" i="1"/>
  <c r="T73" i="1"/>
  <c r="U73" i="1" s="1"/>
  <c r="W73" i="1" s="1"/>
  <c r="X73" i="1" s="1"/>
  <c r="Y73" i="1" s="1"/>
  <c r="AF72" i="1"/>
  <c r="AC72" i="1"/>
  <c r="AA72" i="1"/>
  <c r="T72" i="1"/>
  <c r="U72" i="1" s="1"/>
  <c r="W72" i="1" s="1"/>
  <c r="X72" i="1" s="1"/>
  <c r="AF71" i="1"/>
  <c r="AB71" i="1"/>
  <c r="AC71" i="1" s="1"/>
  <c r="AA71" i="1"/>
  <c r="T71" i="1"/>
  <c r="U71" i="1" s="1"/>
  <c r="W71" i="1" s="1"/>
  <c r="AF70" i="1"/>
  <c r="AB70" i="1"/>
  <c r="AC70" i="1"/>
  <c r="AA70" i="1"/>
  <c r="T70" i="1"/>
  <c r="U70" i="1" s="1"/>
  <c r="W70" i="1" s="1"/>
  <c r="X70" i="1" s="1"/>
  <c r="Y70" i="1" s="1"/>
  <c r="AF69" i="1"/>
  <c r="AC69" i="1"/>
  <c r="AA69" i="1"/>
  <c r="T69" i="1"/>
  <c r="U69" i="1" s="1"/>
  <c r="W69" i="1" s="1"/>
  <c r="AF68" i="1"/>
  <c r="AB68" i="1"/>
  <c r="AC68" i="1" s="1"/>
  <c r="AA68" i="1"/>
  <c r="T68" i="1"/>
  <c r="U68" i="1"/>
  <c r="W68" i="1" s="1"/>
  <c r="X68" i="1" s="1"/>
  <c r="Y68" i="1" s="1"/>
  <c r="AF67" i="1"/>
  <c r="AB67" i="1"/>
  <c r="AA67" i="1"/>
  <c r="T67" i="1"/>
  <c r="U67" i="1" s="1"/>
  <c r="W67" i="1" s="1"/>
  <c r="X67" i="1" s="1"/>
  <c r="AF66" i="1"/>
  <c r="AB66" i="1"/>
  <c r="AC66" i="1" s="1"/>
  <c r="AA66" i="1"/>
  <c r="T66" i="1"/>
  <c r="U66" i="1" s="1"/>
  <c r="W66" i="1" s="1"/>
  <c r="AF65" i="1"/>
  <c r="AB65" i="1"/>
  <c r="AA65" i="1"/>
  <c r="T65" i="1"/>
  <c r="U65" i="1" s="1"/>
  <c r="W65" i="1" s="1"/>
  <c r="X65" i="1" s="1"/>
  <c r="Y65" i="1" s="1"/>
  <c r="AF64" i="1"/>
  <c r="AB64" i="1"/>
  <c r="AA64" i="1"/>
  <c r="T64" i="1"/>
  <c r="U64" i="1" s="1"/>
  <c r="W64" i="1" s="1"/>
  <c r="X64" i="1" s="1"/>
  <c r="Y64" i="1" s="1"/>
  <c r="AF63" i="1"/>
  <c r="AB63" i="1"/>
  <c r="AC63" i="1" s="1"/>
  <c r="AA63" i="1"/>
  <c r="T63" i="1"/>
  <c r="U63" i="1" s="1"/>
  <c r="W63" i="1" s="1"/>
  <c r="X63" i="1" s="1"/>
  <c r="Y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X59" i="1" s="1"/>
  <c r="Y59" i="1" s="1"/>
  <c r="AF58" i="1"/>
  <c r="AB58" i="1"/>
  <c r="AC58" i="1" s="1"/>
  <c r="AA58" i="1"/>
  <c r="T58" i="1"/>
  <c r="U58" i="1" s="1"/>
  <c r="W58" i="1" s="1"/>
  <c r="X58" i="1" s="1"/>
  <c r="AF57" i="1"/>
  <c r="AB57" i="1"/>
  <c r="AC57" i="1" s="1"/>
  <c r="AA57" i="1"/>
  <c r="T57" i="1"/>
  <c r="U57" i="1" s="1"/>
  <c r="W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X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X53" i="1" s="1"/>
  <c r="Y53" i="1" s="1"/>
  <c r="AD52" i="1"/>
  <c r="AF52" i="1" s="1"/>
  <c r="AC52" i="1"/>
  <c r="AA52" i="1"/>
  <c r="T52" i="1"/>
  <c r="U52" i="1" s="1"/>
  <c r="W52" i="1" s="1"/>
  <c r="X52" i="1" s="1"/>
  <c r="Y52" i="1" s="1"/>
  <c r="AF51" i="1"/>
  <c r="AB51" i="1"/>
  <c r="AC51" i="1" s="1"/>
  <c r="AA51" i="1"/>
  <c r="T51" i="1"/>
  <c r="U51" i="1" s="1"/>
  <c r="W51" i="1" s="1"/>
  <c r="X51" i="1" s="1"/>
  <c r="Y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T48" i="1"/>
  <c r="U48" i="1" s="1"/>
  <c r="W48" i="1" s="1"/>
  <c r="AD47" i="1"/>
  <c r="AF47" i="1" s="1"/>
  <c r="AC47" i="1"/>
  <c r="AA47" i="1"/>
  <c r="T47" i="1"/>
  <c r="U47" i="1" s="1"/>
  <c r="W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X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X43" i="1" s="1"/>
  <c r="Y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X41" i="1" s="1"/>
  <c r="Y41" i="1" s="1"/>
  <c r="AF40" i="1"/>
  <c r="AB40" i="1"/>
  <c r="AC40" i="1" s="1"/>
  <c r="AA40" i="1"/>
  <c r="T40" i="1"/>
  <c r="U40" i="1" s="1"/>
  <c r="W40" i="1" s="1"/>
  <c r="X40" i="1" s="1"/>
  <c r="AF39" i="1"/>
  <c r="AB39" i="1"/>
  <c r="AC39" i="1" s="1"/>
  <c r="AA39" i="1"/>
  <c r="T39" i="1"/>
  <c r="U39" i="1" s="1"/>
  <c r="W39" i="1" s="1"/>
  <c r="X39" i="1" s="1"/>
  <c r="AF38" i="1"/>
  <c r="AB38" i="1"/>
  <c r="AC38" i="1" s="1"/>
  <c r="AA38" i="1"/>
  <c r="T38" i="1"/>
  <c r="U38" i="1" s="1"/>
  <c r="W38" i="1" s="1"/>
  <c r="X38" i="1" s="1"/>
  <c r="Y38" i="1" s="1"/>
  <c r="AF37" i="1"/>
  <c r="AB37" i="1"/>
  <c r="AC37" i="1" s="1"/>
  <c r="AA37" i="1"/>
  <c r="T37" i="1"/>
  <c r="U37" i="1"/>
  <c r="W37" i="1" s="1"/>
  <c r="AF36" i="1"/>
  <c r="AB36" i="1"/>
  <c r="AC36" i="1" s="1"/>
  <c r="AA36" i="1"/>
  <c r="T36" i="1"/>
  <c r="U36" i="1" s="1"/>
  <c r="W36" i="1" s="1"/>
  <c r="X36" i="1" s="1"/>
  <c r="Y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X33" i="1" s="1"/>
  <c r="AF32" i="1"/>
  <c r="AB32" i="1"/>
  <c r="AC32" i="1" s="1"/>
  <c r="AA32" i="1"/>
  <c r="T32" i="1"/>
  <c r="U32" i="1" s="1"/>
  <c r="W32" i="1" s="1"/>
  <c r="X32" i="1" s="1"/>
  <c r="AF31" i="1"/>
  <c r="AB31" i="1"/>
  <c r="AC31" i="1" s="1"/>
  <c r="AA31" i="1"/>
  <c r="T31" i="1"/>
  <c r="U31" i="1" s="1"/>
  <c r="W31" i="1" s="1"/>
  <c r="X31" i="1" s="1"/>
  <c r="Y31" i="1" s="1"/>
  <c r="AF30" i="1"/>
  <c r="AB30" i="1"/>
  <c r="AC30" i="1" s="1"/>
  <c r="AA30" i="1"/>
  <c r="T30" i="1"/>
  <c r="U30" i="1" s="1"/>
  <c r="W30" i="1" s="1"/>
  <c r="X30" i="1" s="1"/>
  <c r="Y30" i="1" s="1"/>
  <c r="AF29" i="1"/>
  <c r="AB29" i="1"/>
  <c r="AC29" i="1" s="1"/>
  <c r="AA29" i="1"/>
  <c r="T29" i="1"/>
  <c r="U29" i="1" s="1"/>
  <c r="W29" i="1" s="1"/>
  <c r="X29" i="1" s="1"/>
  <c r="AF28" i="1"/>
  <c r="AB28" i="1"/>
  <c r="AC28" i="1" s="1"/>
  <c r="AA28" i="1"/>
  <c r="T28" i="1"/>
  <c r="U28" i="1" s="1"/>
  <c r="W28" i="1" s="1"/>
  <c r="X28" i="1" s="1"/>
  <c r="Y28" i="1" s="1"/>
  <c r="AF27" i="1"/>
  <c r="AB27" i="1"/>
  <c r="AC27" i="1" s="1"/>
  <c r="AA27" i="1"/>
  <c r="T27" i="1"/>
  <c r="U27" i="1" s="1"/>
  <c r="W27" i="1" s="1"/>
  <c r="X27" i="1" s="1"/>
  <c r="Y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X25" i="1" s="1"/>
  <c r="Y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AF22" i="1"/>
  <c r="AB22" i="1"/>
  <c r="AC22" i="1" s="1"/>
  <c r="AA22" i="1"/>
  <c r="T22" i="1"/>
  <c r="U22" i="1" s="1"/>
  <c r="W22" i="1" s="1"/>
  <c r="X22" i="1" s="1"/>
  <c r="Y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X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X18" i="1" s="1"/>
  <c r="Y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X16" i="1" s="1"/>
  <c r="AF15" i="1"/>
  <c r="AB15" i="1"/>
  <c r="AC15" i="1" s="1"/>
  <c r="AA15" i="1"/>
  <c r="T15" i="1"/>
  <c r="U15" i="1"/>
  <c r="W15" i="1" s="1"/>
  <c r="X15" i="1" s="1"/>
  <c r="Y15" i="1" s="1"/>
  <c r="AF14" i="1"/>
  <c r="AB14" i="1"/>
  <c r="AC14" i="1" s="1"/>
  <c r="AA14" i="1"/>
  <c r="T14" i="1"/>
  <c r="U14" i="1" s="1"/>
  <c r="W14" i="1" s="1"/>
  <c r="X14" i="1" s="1"/>
  <c r="Y14" i="1" s="1"/>
  <c r="AF13" i="1"/>
  <c r="AB13" i="1"/>
  <c r="AC13" i="1" s="1"/>
  <c r="AA13" i="1"/>
  <c r="T13" i="1"/>
  <c r="U13" i="1" s="1"/>
  <c r="W13" i="1" s="1"/>
  <c r="X13" i="1" s="1"/>
  <c r="Y13" i="1" s="1"/>
  <c r="AF12" i="1"/>
  <c r="AB12" i="1"/>
  <c r="AC12" i="1" s="1"/>
  <c r="AA12" i="1"/>
  <c r="T12" i="1"/>
  <c r="U12" i="1" s="1"/>
  <c r="W12" i="1" s="1"/>
  <c r="X12" i="1" s="1"/>
  <c r="AF11" i="1"/>
  <c r="AB11" i="1"/>
  <c r="AC11" i="1" s="1"/>
  <c r="AA11" i="1"/>
  <c r="T11" i="1"/>
  <c r="U11" i="1" s="1"/>
  <c r="W11" i="1" s="1"/>
  <c r="X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X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X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/>
  <c r="W4" i="1" s="1"/>
  <c r="X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X2" i="1" s="1"/>
  <c r="Y2" i="1" s="1"/>
  <c r="AC480" i="1"/>
  <c r="AC1337" i="1"/>
  <c r="AG307" i="1"/>
  <c r="AC983" i="1"/>
  <c r="K9" i="9"/>
  <c r="J9" i="9"/>
  <c r="AG237" i="1"/>
  <c r="AB319" i="1"/>
  <c r="AG319" i="1" s="1"/>
  <c r="Y983" i="1"/>
  <c r="Y1028" i="1"/>
  <c r="AG208" i="1"/>
  <c r="AG228" i="1"/>
  <c r="AG292" i="1"/>
  <c r="AG294" i="1"/>
  <c r="AA1225" i="1"/>
  <c r="Y1240" i="1"/>
  <c r="AG1245" i="1"/>
  <c r="AG1265" i="1"/>
  <c r="Y1112" i="1"/>
  <c r="Y1146" i="1"/>
  <c r="AH1216" i="1"/>
  <c r="AC1225" i="1"/>
  <c r="AG247" i="1"/>
  <c r="Y755" i="1"/>
  <c r="AB855" i="1"/>
  <c r="AC855" i="1" s="1"/>
  <c r="AD1165" i="1"/>
  <c r="AF1165" i="1" s="1"/>
  <c r="AH1179" i="1"/>
  <c r="AG235" i="1"/>
  <c r="Y816" i="1"/>
  <c r="AH1217" i="1"/>
  <c r="Y448" i="1"/>
  <c r="Y516" i="1"/>
  <c r="AA1232" i="1"/>
  <c r="AB1232" i="1"/>
  <c r="X632" i="1"/>
  <c r="Y632" i="1" s="1"/>
  <c r="X1266" i="1"/>
  <c r="Y1266" i="1" s="1"/>
  <c r="AD832" i="1"/>
  <c r="AF832" i="1" s="1"/>
  <c r="AA832" i="1"/>
  <c r="X941" i="1"/>
  <c r="Y941" i="1" s="1"/>
  <c r="Y744" i="1"/>
  <c r="AH1219" i="1"/>
  <c r="AG1272" i="1"/>
  <c r="Y1015" i="1"/>
  <c r="AH1218" i="1"/>
  <c r="AG249" i="1"/>
  <c r="AG251" i="1"/>
  <c r="Y728" i="1"/>
  <c r="X165" i="1"/>
  <c r="Y165" i="1" s="1"/>
  <c r="X149" i="1"/>
  <c r="X192" i="1"/>
  <c r="Y192" i="1" s="1"/>
  <c r="X125" i="1"/>
  <c r="Y125" i="1" s="1"/>
  <c r="X133" i="1"/>
  <c r="Y133" i="1" s="1"/>
  <c r="Y168" i="1"/>
  <c r="AD655" i="1"/>
  <c r="AF655" i="1" s="1"/>
  <c r="AB655" i="1"/>
  <c r="AC655" i="1" s="1"/>
  <c r="X829" i="1"/>
  <c r="Y829" i="1" s="1"/>
  <c r="X943" i="1"/>
  <c r="Y943" i="1"/>
  <c r="AC1269" i="1"/>
  <c r="AG1269" i="1"/>
  <c r="AC225" i="1"/>
  <c r="AG231" i="1"/>
  <c r="AG113" i="1"/>
  <c r="AG149" i="1"/>
  <c r="AG243" i="1"/>
  <c r="AC249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AC213" i="1"/>
  <c r="AG241" i="1"/>
  <c r="AC251" i="1"/>
  <c r="AC294" i="1"/>
  <c r="AG115" i="1"/>
  <c r="AG94" i="1"/>
  <c r="AG239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Y770" i="1"/>
  <c r="AD1160" i="1"/>
  <c r="AF1160" i="1" s="1"/>
  <c r="AA1160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AC257" i="1"/>
  <c r="AG265" i="1"/>
  <c r="X825" i="1"/>
  <c r="Y825" i="1" s="1"/>
  <c r="AG66" i="1"/>
  <c r="AG143" i="1"/>
  <c r="AC208" i="1"/>
  <c r="Y211" i="1"/>
  <c r="AG222" i="1"/>
  <c r="AG232" i="1"/>
  <c r="AC244" i="1"/>
  <c r="X287" i="1"/>
  <c r="AC290" i="1"/>
  <c r="Y402" i="1"/>
  <c r="X429" i="1"/>
  <c r="Y429" i="1" s="1"/>
  <c r="AG220" i="1"/>
  <c r="AC255" i="1"/>
  <c r="AG255" i="1"/>
  <c r="AC259" i="1"/>
  <c r="AG259" i="1"/>
  <c r="X261" i="1"/>
  <c r="AC263" i="1"/>
  <c r="AG263" i="1"/>
  <c r="AC267" i="1"/>
  <c r="AG267" i="1"/>
  <c r="X275" i="1"/>
  <c r="Y275" i="1" s="1"/>
  <c r="AC288" i="1"/>
  <c r="AB288" i="1"/>
  <c r="AG288" i="1" s="1"/>
  <c r="AA288" i="1"/>
  <c r="X358" i="1"/>
  <c r="Y358" i="1" s="1"/>
  <c r="X422" i="1"/>
  <c r="Y422" i="1" s="1"/>
  <c r="X430" i="1"/>
  <c r="Y430" i="1" s="1"/>
  <c r="AC253" i="1"/>
  <c r="AG253" i="1"/>
  <c r="Y267" i="1"/>
  <c r="Y285" i="1"/>
  <c r="X330" i="1"/>
  <c r="Y330" i="1" s="1"/>
  <c r="X406" i="1"/>
  <c r="Y406" i="1" s="1"/>
  <c r="AG92" i="1"/>
  <c r="AC212" i="1"/>
  <c r="AC220" i="1"/>
  <c r="AC245" i="1"/>
  <c r="X258" i="1"/>
  <c r="Y258" i="1"/>
  <c r="Y262" i="1"/>
  <c r="X266" i="1"/>
  <c r="Y266" i="1" s="1"/>
  <c r="Y279" i="1"/>
  <c r="X281" i="1"/>
  <c r="Y281" i="1" s="1"/>
  <c r="X283" i="1"/>
  <c r="Y283" i="1" s="1"/>
  <c r="X420" i="1"/>
  <c r="Y420" i="1" s="1"/>
  <c r="X732" i="1"/>
  <c r="Y732" i="1" s="1"/>
  <c r="AG297" i="1"/>
  <c r="AG240" i="1"/>
  <c r="AG269" i="1"/>
  <c r="AG271" i="1"/>
  <c r="AG273" i="1"/>
  <c r="AG275" i="1"/>
  <c r="AG277" i="1"/>
  <c r="AG291" i="1"/>
  <c r="Y399" i="1"/>
  <c r="Y453" i="1"/>
  <c r="X457" i="1"/>
  <c r="Y457" i="1" s="1"/>
  <c r="X555" i="1"/>
  <c r="Y555" i="1" s="1"/>
  <c r="X806" i="1"/>
  <c r="Y806" i="1" s="1"/>
  <c r="X812" i="1"/>
  <c r="Y812" i="1" s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X1081" i="1"/>
  <c r="Y1081" i="1" s="1"/>
  <c r="X1151" i="1"/>
  <c r="Y1151" i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321" i="1"/>
  <c r="Y321" i="1" s="1"/>
  <c r="Y20" i="1"/>
  <c r="X74" i="1"/>
  <c r="Y74" i="1" s="1"/>
  <c r="X93" i="1"/>
  <c r="Y93" i="1" s="1"/>
  <c r="X148" i="1"/>
  <c r="Y148" i="1" s="1"/>
  <c r="X156" i="1"/>
  <c r="Y156" i="1" s="1"/>
  <c r="X172" i="1"/>
  <c r="Y172" i="1" s="1"/>
  <c r="X188" i="1"/>
  <c r="X307" i="1"/>
  <c r="Y307" i="1" s="1"/>
  <c r="X325" i="1"/>
  <c r="Y325" i="1" s="1"/>
  <c r="X289" i="1"/>
  <c r="Y289" i="1" s="1"/>
  <c r="X328" i="1"/>
  <c r="Y328" i="1" s="1"/>
  <c r="Y16" i="1"/>
  <c r="X17" i="1"/>
  <c r="Y17" i="1" s="1"/>
  <c r="X46" i="1"/>
  <c r="Y46" i="1" s="1"/>
  <c r="X69" i="1"/>
  <c r="Y69" i="1" s="1"/>
  <c r="X79" i="1"/>
  <c r="Y79" i="1" s="1"/>
  <c r="X142" i="1"/>
  <c r="Y142" i="1" s="1"/>
  <c r="X145" i="1"/>
  <c r="Y145" i="1" s="1"/>
  <c r="X150" i="1"/>
  <c r="Y150" i="1" s="1"/>
  <c r="X177" i="1"/>
  <c r="Y177" i="1" s="1"/>
  <c r="X190" i="1"/>
  <c r="Y190" i="1" s="1"/>
  <c r="X320" i="1"/>
  <c r="Y320" i="1" s="1"/>
  <c r="X21" i="1"/>
  <c r="X49" i="1"/>
  <c r="Y49" i="1" s="1"/>
  <c r="X155" i="1"/>
  <c r="Y155" i="1" s="1"/>
  <c r="X179" i="1"/>
  <c r="Y179" i="1" s="1"/>
  <c r="X187" i="1"/>
  <c r="Y187" i="1" s="1"/>
  <c r="X309" i="1"/>
  <c r="Y309" i="1" s="1"/>
  <c r="X24" i="1"/>
  <c r="Y24" i="1" s="1"/>
  <c r="X82" i="1"/>
  <c r="Y82" i="1" s="1"/>
  <c r="X10" i="1"/>
  <c r="Y10" i="1" s="1"/>
  <c r="X44" i="1"/>
  <c r="Y44" i="1" s="1"/>
  <c r="X60" i="1"/>
  <c r="X62" i="1"/>
  <c r="Y62" i="1" s="1"/>
  <c r="X66" i="1"/>
  <c r="Y66" i="1" s="1"/>
  <c r="Y77" i="1"/>
  <c r="X100" i="1"/>
  <c r="Y100" i="1" s="1"/>
  <c r="X200" i="1"/>
  <c r="Y200" i="1" s="1"/>
  <c r="X201" i="1"/>
  <c r="Y201" i="1" s="1"/>
  <c r="X339" i="1"/>
  <c r="Y339" i="1"/>
  <c r="AC201" i="1"/>
  <c r="AG201" i="1"/>
  <c r="AC301" i="1"/>
  <c r="X308" i="1"/>
  <c r="Y308" i="1" s="1"/>
  <c r="X324" i="1"/>
  <c r="Y324" i="1"/>
  <c r="X353" i="1"/>
  <c r="Y353" i="1" s="1"/>
  <c r="X364" i="1"/>
  <c r="Y364" i="1" s="1"/>
  <c r="X374" i="1"/>
  <c r="Y374" i="1" s="1"/>
  <c r="X446" i="1"/>
  <c r="Y446" i="1"/>
  <c r="X465" i="1"/>
  <c r="Y465" i="1" s="1"/>
  <c r="X471" i="1"/>
  <c r="Y471" i="1" s="1"/>
  <c r="X534" i="1"/>
  <c r="Y534" i="1" s="1"/>
  <c r="X741" i="1"/>
  <c r="Y741" i="1" s="1"/>
  <c r="X752" i="1"/>
  <c r="Y752" i="1" s="1"/>
  <c r="Y107" i="1"/>
  <c r="AG150" i="1"/>
  <c r="AC150" i="1"/>
  <c r="AC158" i="1"/>
  <c r="Y191" i="1"/>
  <c r="Y231" i="1"/>
  <c r="X304" i="1"/>
  <c r="Y304" i="1" s="1"/>
  <c r="Y354" i="1"/>
  <c r="X394" i="1"/>
  <c r="Y394" i="1" s="1"/>
  <c r="X398" i="1"/>
  <c r="Y398" i="1" s="1"/>
  <c r="X407" i="1"/>
  <c r="Y407" i="1" s="1"/>
  <c r="X432" i="1"/>
  <c r="Y432" i="1" s="1"/>
  <c r="X526" i="1"/>
  <c r="Y526" i="1" s="1"/>
  <c r="X590" i="1"/>
  <c r="Y590" i="1" s="1"/>
  <c r="X612" i="1"/>
  <c r="Y612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/>
  <c r="X969" i="1"/>
  <c r="Y969" i="1" s="1"/>
  <c r="X978" i="1"/>
  <c r="Y978" i="1" s="1"/>
  <c r="X984" i="1"/>
  <c r="Y984" i="1" s="1"/>
  <c r="AG140" i="1"/>
  <c r="AC140" i="1"/>
  <c r="AC148" i="1"/>
  <c r="AC156" i="1"/>
  <c r="AG164" i="1"/>
  <c r="AC164" i="1"/>
  <c r="AG172" i="1"/>
  <c r="AC172" i="1"/>
  <c r="AC180" i="1"/>
  <c r="AC188" i="1"/>
  <c r="AC197" i="1"/>
  <c r="X218" i="1"/>
  <c r="Y218" i="1" s="1"/>
  <c r="X234" i="1"/>
  <c r="Y234" i="1" s="1"/>
  <c r="X250" i="1"/>
  <c r="Y250" i="1" s="1"/>
  <c r="X313" i="1"/>
  <c r="Y313" i="1" s="1"/>
  <c r="AB317" i="1"/>
  <c r="AC317" i="1" s="1"/>
  <c r="X378" i="1"/>
  <c r="Y378" i="1" s="1"/>
  <c r="X386" i="1"/>
  <c r="Y386" i="1" s="1"/>
  <c r="X390" i="1"/>
  <c r="Y390" i="1" s="1"/>
  <c r="X512" i="1"/>
  <c r="Y512" i="1" s="1"/>
  <c r="X596" i="1"/>
  <c r="Y596" i="1" s="1"/>
  <c r="X742" i="1"/>
  <c r="Y742" i="1" s="1"/>
  <c r="X750" i="1"/>
  <c r="Y750" i="1" s="1"/>
  <c r="X19" i="1"/>
  <c r="Y19" i="1" s="1"/>
  <c r="X87" i="1"/>
  <c r="Y87" i="1"/>
  <c r="AC96" i="1"/>
  <c r="Y127" i="1"/>
  <c r="AC134" i="1"/>
  <c r="AG174" i="1"/>
  <c r="AG198" i="1"/>
  <c r="AC198" i="1"/>
  <c r="X222" i="1"/>
  <c r="Y222" i="1" s="1"/>
  <c r="X228" i="1"/>
  <c r="Y228" i="1" s="1"/>
  <c r="AA314" i="1"/>
  <c r="AB314" i="1"/>
  <c r="AG314" i="1" s="1"/>
  <c r="AA317" i="1"/>
  <c r="AA324" i="1"/>
  <c r="X343" i="1"/>
  <c r="Y343" i="1" s="1"/>
  <c r="X435" i="1"/>
  <c r="Y435" i="1" s="1"/>
  <c r="X522" i="1"/>
  <c r="Y522" i="1" s="1"/>
  <c r="X528" i="1"/>
  <c r="Y528" i="1" s="1"/>
  <c r="X542" i="1"/>
  <c r="Y542" i="1"/>
  <c r="X628" i="1"/>
  <c r="Y628" i="1" s="1"/>
  <c r="X737" i="1"/>
  <c r="Y737" i="1" s="1"/>
  <c r="X805" i="1"/>
  <c r="Y805" i="1" s="1"/>
  <c r="X807" i="1"/>
  <c r="Y807" i="1" s="1"/>
  <c r="Y50" i="1"/>
  <c r="AC128" i="1"/>
  <c r="AG136" i="1"/>
  <c r="AC136" i="1"/>
  <c r="AC152" i="1"/>
  <c r="AG160" i="1"/>
  <c r="AC160" i="1"/>
  <c r="AG161" i="1"/>
  <c r="AC168" i="1"/>
  <c r="AG169" i="1"/>
  <c r="AG176" i="1"/>
  <c r="AC176" i="1"/>
  <c r="AG184" i="1"/>
  <c r="AC184" i="1"/>
  <c r="AG185" i="1"/>
  <c r="AG192" i="1"/>
  <c r="AG193" i="1"/>
  <c r="AC199" i="1"/>
  <c r="AG199" i="1"/>
  <c r="Y203" i="1"/>
  <c r="Y209" i="1"/>
  <c r="AG210" i="1"/>
  <c r="Y220" i="1"/>
  <c r="X221" i="1"/>
  <c r="Y221" i="1" s="1"/>
  <c r="Y225" i="1"/>
  <c r="X226" i="1"/>
  <c r="Y226" i="1" s="1"/>
  <c r="Y236" i="1"/>
  <c r="Y251" i="1"/>
  <c r="Y252" i="1"/>
  <c r="AC292" i="1"/>
  <c r="X298" i="1"/>
  <c r="Y298" i="1" s="1"/>
  <c r="Y300" i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Y334" i="1"/>
  <c r="X344" i="1"/>
  <c r="Y344" i="1" s="1"/>
  <c r="Y351" i="1"/>
  <c r="X352" i="1"/>
  <c r="Y352" i="1" s="1"/>
  <c r="Y360" i="1"/>
  <c r="X408" i="1"/>
  <c r="Y408" i="1" s="1"/>
  <c r="X411" i="1"/>
  <c r="Y411" i="1" s="1"/>
  <c r="X443" i="1"/>
  <c r="Y443" i="1" s="1"/>
  <c r="X450" i="1"/>
  <c r="Y450" i="1" s="1"/>
  <c r="X452" i="1"/>
  <c r="Y452" i="1" s="1"/>
  <c r="X461" i="1"/>
  <c r="X480" i="1"/>
  <c r="Y480" i="1" s="1"/>
  <c r="X484" i="1"/>
  <c r="Y484" i="1" s="1"/>
  <c r="X548" i="1"/>
  <c r="Y548" i="1" s="1"/>
  <c r="X570" i="1"/>
  <c r="Y570" i="1" s="1"/>
  <c r="X575" i="1"/>
  <c r="Y575" i="1" s="1"/>
  <c r="X600" i="1"/>
  <c r="Y600" i="1" s="1"/>
  <c r="X756" i="1"/>
  <c r="Y756" i="1" s="1"/>
  <c r="Y249" i="1"/>
  <c r="X305" i="1"/>
  <c r="Y305" i="1" s="1"/>
  <c r="AA312" i="1"/>
  <c r="AC312" i="1"/>
  <c r="X346" i="1"/>
  <c r="Y346" i="1" s="1"/>
  <c r="Y359" i="1"/>
  <c r="X363" i="1"/>
  <c r="Y363" i="1" s="1"/>
  <c r="X366" i="1"/>
  <c r="Y366" i="1" s="1"/>
  <c r="X370" i="1"/>
  <c r="X434" i="1"/>
  <c r="Y434" i="1" s="1"/>
  <c r="X477" i="1"/>
  <c r="Y477" i="1" s="1"/>
  <c r="X510" i="1"/>
  <c r="Y510" i="1" s="1"/>
  <c r="X561" i="1"/>
  <c r="Y561" i="1" s="1"/>
  <c r="Y113" i="1"/>
  <c r="Y117" i="1"/>
  <c r="AG142" i="1"/>
  <c r="AC142" i="1"/>
  <c r="Y162" i="1"/>
  <c r="AG166" i="1"/>
  <c r="AC166" i="1"/>
  <c r="Y167" i="1"/>
  <c r="Y175" i="1"/>
  <c r="AC182" i="1"/>
  <c r="X206" i="1"/>
  <c r="Y206" i="1" s="1"/>
  <c r="X212" i="1"/>
  <c r="Y212" i="1" s="1"/>
  <c r="X217" i="1"/>
  <c r="Y217" i="1" s="1"/>
  <c r="Y248" i="1"/>
  <c r="AC303" i="1"/>
  <c r="AG303" i="1"/>
  <c r="AC307" i="1"/>
  <c r="AB313" i="1"/>
  <c r="Y94" i="1"/>
  <c r="AG102" i="1"/>
  <c r="AG120" i="1"/>
  <c r="AG122" i="1"/>
  <c r="AC130" i="1"/>
  <c r="AG138" i="1"/>
  <c r="AC138" i="1"/>
  <c r="AG146" i="1"/>
  <c r="AC146" i="1"/>
  <c r="AG147" i="1"/>
  <c r="AC154" i="1"/>
  <c r="AG170" i="1"/>
  <c r="AC170" i="1"/>
  <c r="AG171" i="1"/>
  <c r="AG178" i="1"/>
  <c r="AC178" i="1"/>
  <c r="AC186" i="1"/>
  <c r="AG195" i="1"/>
  <c r="X198" i="1"/>
  <c r="Y198" i="1" s="1"/>
  <c r="AG200" i="1"/>
  <c r="AC200" i="1"/>
  <c r="X202" i="1"/>
  <c r="Y202" i="1" s="1"/>
  <c r="Y213" i="1"/>
  <c r="AG214" i="1"/>
  <c r="X230" i="1"/>
  <c r="Y230" i="1" s="1"/>
  <c r="AG230" i="1"/>
  <c r="Y245" i="1"/>
  <c r="AG299" i="1"/>
  <c r="X303" i="1"/>
  <c r="Y303" i="1" s="1"/>
  <c r="X312" i="1"/>
  <c r="Y312" i="1" s="1"/>
  <c r="AA316" i="1"/>
  <c r="X317" i="1"/>
  <c r="Y317" i="1" s="1"/>
  <c r="AB321" i="1"/>
  <c r="AG321" i="1" s="1"/>
  <c r="AA322" i="1"/>
  <c r="AB322" i="1"/>
  <c r="AG322" i="1" s="1"/>
  <c r="Y337" i="1"/>
  <c r="X345" i="1"/>
  <c r="Y345" i="1" s="1"/>
  <c r="X362" i="1"/>
  <c r="Y362" i="1" s="1"/>
  <c r="X367" i="1"/>
  <c r="Y367" i="1" s="1"/>
  <c r="X371" i="1"/>
  <c r="Y371" i="1"/>
  <c r="X372" i="1"/>
  <c r="Y372" i="1" s="1"/>
  <c r="X376" i="1"/>
  <c r="Y376" i="1" s="1"/>
  <c r="X379" i="1"/>
  <c r="Y379" i="1" s="1"/>
  <c r="X383" i="1"/>
  <c r="Y383" i="1" s="1"/>
  <c r="X388" i="1"/>
  <c r="Y388" i="1" s="1"/>
  <c r="X403" i="1"/>
  <c r="Y403" i="1" s="1"/>
  <c r="X412" i="1"/>
  <c r="Y412" i="1" s="1"/>
  <c r="X415" i="1"/>
  <c r="Y415" i="1" s="1"/>
  <c r="X431" i="1"/>
  <c r="Y431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/>
  <c r="X568" i="1"/>
  <c r="Y568" i="1" s="1"/>
  <c r="X714" i="1"/>
  <c r="Y714" i="1" s="1"/>
  <c r="AG266" i="1"/>
  <c r="AG268" i="1"/>
  <c r="AG272" i="1"/>
  <c r="AG276" i="1"/>
  <c r="AG278" i="1"/>
  <c r="AG280" i="1"/>
  <c r="AG282" i="1"/>
  <c r="AG284" i="1"/>
  <c r="AG286" i="1"/>
  <c r="Y290" i="1"/>
  <c r="Y294" i="1"/>
  <c r="Y310" i="1"/>
  <c r="Y314" i="1"/>
  <c r="Y322" i="1"/>
  <c r="Y392" i="1"/>
  <c r="Y396" i="1"/>
  <c r="Y438" i="1"/>
  <c r="X455" i="1"/>
  <c r="Y455" i="1" s="1"/>
  <c r="Y458" i="1"/>
  <c r="Y474" i="1"/>
  <c r="X489" i="1"/>
  <c r="Y489" i="1" s="1"/>
  <c r="Y498" i="1"/>
  <c r="Y499" i="1"/>
  <c r="X501" i="1"/>
  <c r="Y501" i="1" s="1"/>
  <c r="Y514" i="1"/>
  <c r="Y515" i="1"/>
  <c r="X517" i="1"/>
  <c r="Y517" i="1"/>
  <c r="Y530" i="1"/>
  <c r="Y531" i="1"/>
  <c r="X533" i="1"/>
  <c r="Y533" i="1" s="1"/>
  <c r="AC551" i="1"/>
  <c r="AD551" i="1"/>
  <c r="AF551" i="1" s="1"/>
  <c r="AA551" i="1"/>
  <c r="Y553" i="1"/>
  <c r="Y554" i="1"/>
  <c r="X556" i="1"/>
  <c r="Y556" i="1" s="1"/>
  <c r="X563" i="1"/>
  <c r="Y563" i="1" s="1"/>
  <c r="Y573" i="1"/>
  <c r="X595" i="1"/>
  <c r="Y595" i="1" s="1"/>
  <c r="Y608" i="1"/>
  <c r="Y609" i="1"/>
  <c r="Y610" i="1"/>
  <c r="Y617" i="1"/>
  <c r="X619" i="1"/>
  <c r="Y619" i="1" s="1"/>
  <c r="Y625" i="1"/>
  <c r="Y626" i="1"/>
  <c r="X627" i="1"/>
  <c r="Y627" i="1" s="1"/>
  <c r="Y633" i="1"/>
  <c r="Y634" i="1"/>
  <c r="X635" i="1"/>
  <c r="Y635" i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C824" i="1"/>
  <c r="X826" i="1"/>
  <c r="Y826" i="1" s="1"/>
  <c r="X827" i="1"/>
  <c r="Y827" i="1"/>
  <c r="Y833" i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/>
  <c r="X1268" i="1"/>
  <c r="Y1268" i="1" s="1"/>
  <c r="AG1271" i="1"/>
  <c r="AC1271" i="1"/>
  <c r="AC356" i="1"/>
  <c r="X456" i="1"/>
  <c r="Y456" i="1" s="1"/>
  <c r="X468" i="1"/>
  <c r="Y468" i="1" s="1"/>
  <c r="Y483" i="1"/>
  <c r="AB488" i="1"/>
  <c r="AA488" i="1"/>
  <c r="AD488" i="1"/>
  <c r="AF488" i="1" s="1"/>
  <c r="AC488" i="1"/>
  <c r="X493" i="1"/>
  <c r="Y493" i="1" s="1"/>
  <c r="X509" i="1"/>
  <c r="Y509" i="1" s="1"/>
  <c r="X525" i="1"/>
  <c r="Y525" i="1"/>
  <c r="X544" i="1"/>
  <c r="X562" i="1"/>
  <c r="Y562" i="1" s="1"/>
  <c r="X565" i="1"/>
  <c r="Y565" i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9" i="1"/>
  <c r="X451" i="1"/>
  <c r="Y451" i="1" s="1"/>
  <c r="X454" i="1"/>
  <c r="Y454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/>
  <c r="Y508" i="1"/>
  <c r="X520" i="1"/>
  <c r="Y520" i="1" s="1"/>
  <c r="X523" i="1"/>
  <c r="Y523" i="1" s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99" i="1"/>
  <c r="Y799" i="1"/>
  <c r="X615" i="1"/>
  <c r="Y615" i="1" s="1"/>
  <c r="X623" i="1"/>
  <c r="Y623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/>
  <c r="X723" i="1"/>
  <c r="Y723" i="1" s="1"/>
  <c r="X734" i="1"/>
  <c r="Y734" i="1"/>
  <c r="X753" i="1"/>
  <c r="Y753" i="1" s="1"/>
  <c r="X772" i="1"/>
  <c r="Y772" i="1" s="1"/>
  <c r="X777" i="1"/>
  <c r="Y777" i="1" s="1"/>
  <c r="X792" i="1"/>
  <c r="Y792" i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7" i="1"/>
  <c r="X462" i="1"/>
  <c r="Y462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52" i="1"/>
  <c r="X558" i="1"/>
  <c r="Y558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/>
  <c r="X991" i="1"/>
  <c r="Y991" i="1" s="1"/>
  <c r="X995" i="1"/>
  <c r="Y995" i="1" s="1"/>
  <c r="X1003" i="1"/>
  <c r="Y1003" i="1" s="1"/>
  <c r="X1019" i="1"/>
  <c r="Y1019" i="1"/>
  <c r="X1032" i="1"/>
  <c r="Y1032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/>
  <c r="X895" i="1"/>
  <c r="Y895" i="1" s="1"/>
  <c r="X897" i="1"/>
  <c r="Y897" i="1" s="1"/>
  <c r="X899" i="1"/>
  <c r="Y899" i="1" s="1"/>
  <c r="X901" i="1"/>
  <c r="Y901" i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/>
  <c r="X1012" i="1"/>
  <c r="Y1012" i="1" s="1"/>
  <c r="X1014" i="1"/>
  <c r="Y1014" i="1" s="1"/>
  <c r="X1021" i="1"/>
  <c r="Y1021" i="1" s="1"/>
  <c r="X1023" i="1"/>
  <c r="Y1023" i="1" s="1"/>
  <c r="X1025" i="1"/>
  <c r="Y1025" i="1"/>
  <c r="X1027" i="1"/>
  <c r="Y1027" i="1" s="1"/>
  <c r="X1053" i="1"/>
  <c r="Y1053" i="1" s="1"/>
  <c r="X1061" i="1"/>
  <c r="Y1061" i="1" s="1"/>
  <c r="X1065" i="1"/>
  <c r="Y1065" i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C1224" i="1" s="1"/>
  <c r="AG1224" i="1"/>
  <c r="AA1224" i="1"/>
  <c r="AG1227" i="1"/>
  <c r="AC1239" i="1"/>
  <c r="AG1239" i="1"/>
  <c r="AC1240" i="1"/>
  <c r="AG1240" i="1"/>
  <c r="X1242" i="1"/>
  <c r="Y1242" i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AB1226" i="1"/>
  <c r="AC1226" i="1" s="1"/>
  <c r="AA1227" i="1"/>
  <c r="AA1229" i="1"/>
  <c r="AC1229" i="1"/>
  <c r="AB1233" i="1"/>
  <c r="AG1233" i="1" s="1"/>
  <c r="AA1233" i="1"/>
  <c r="AC1236" i="1"/>
  <c r="X1239" i="1"/>
  <c r="Y1239" i="1" s="1"/>
  <c r="Y1248" i="1"/>
  <c r="X1252" i="1"/>
  <c r="Y1252" i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/>
  <c r="AG1263" i="1"/>
  <c r="AC1263" i="1"/>
  <c r="AB1264" i="1"/>
  <c r="AC1264" i="1" s="1"/>
  <c r="X1267" i="1"/>
  <c r="Y1267" i="1"/>
  <c r="X1271" i="1"/>
  <c r="Y1271" i="1" s="1"/>
  <c r="M6" i="9"/>
  <c r="M9" i="9"/>
  <c r="AC1292" i="1"/>
  <c r="K54" i="2"/>
  <c r="AC308" i="1"/>
  <c r="AC1233" i="1"/>
  <c r="W1227" i="1"/>
  <c r="X1227" i="1" s="1"/>
  <c r="Y1227" i="1" s="1"/>
  <c r="AC314" i="1"/>
  <c r="AC324" i="1"/>
  <c r="AC1227" i="1"/>
  <c r="AC309" i="1"/>
  <c r="AA48" i="1"/>
  <c r="AC48" i="1"/>
  <c r="Y445" i="1" l="1"/>
  <c r="X173" i="1"/>
  <c r="Y173" i="1"/>
  <c r="X183" i="1"/>
  <c r="Y183" i="1"/>
  <c r="AC302" i="1"/>
  <c r="AG302" i="1"/>
  <c r="AA311" i="1"/>
  <c r="AB311" i="1"/>
  <c r="X447" i="1"/>
  <c r="Y447" i="1"/>
  <c r="X540" i="1"/>
  <c r="Y540" i="1"/>
  <c r="X959" i="1"/>
  <c r="Y959" i="1"/>
  <c r="AC177" i="1"/>
  <c r="AG177" i="1"/>
  <c r="AC321" i="1"/>
  <c r="Y545" i="1"/>
  <c r="AG313" i="1"/>
  <c r="AA308" i="1"/>
  <c r="X47" i="1"/>
  <c r="Y47" i="1"/>
  <c r="AG67" i="1"/>
  <c r="AC67" i="1"/>
  <c r="X227" i="1"/>
  <c r="Y227" i="1" s="1"/>
  <c r="X229" i="1"/>
  <c r="Y229" i="1"/>
  <c r="AC238" i="1"/>
  <c r="AG238" i="1"/>
  <c r="AC242" i="1"/>
  <c r="AG242" i="1"/>
  <c r="X247" i="1"/>
  <c r="Y247" i="1" s="1"/>
  <c r="AG248" i="1"/>
  <c r="X255" i="1"/>
  <c r="Y255" i="1" s="1"/>
  <c r="AG258" i="1"/>
  <c r="AC274" i="1"/>
  <c r="AG274" i="1"/>
  <c r="X280" i="1"/>
  <c r="Y280" i="1" s="1"/>
  <c r="X284" i="1"/>
  <c r="Y284" i="1"/>
  <c r="AC287" i="1"/>
  <c r="AG287" i="1"/>
  <c r="X444" i="1"/>
  <c r="Y444" i="1" s="1"/>
  <c r="X788" i="1"/>
  <c r="Y788" i="1" s="1"/>
  <c r="AA845" i="1"/>
  <c r="AC217" i="1"/>
  <c r="AG217" i="1"/>
  <c r="AC219" i="1"/>
  <c r="AG219" i="1"/>
  <c r="Y790" i="1"/>
  <c r="AC131" i="1"/>
  <c r="AG131" i="1"/>
  <c r="X661" i="1"/>
  <c r="Y661" i="1"/>
  <c r="X783" i="1"/>
  <c r="Y783" i="1"/>
  <c r="AC103" i="1"/>
  <c r="AG103" i="1"/>
  <c r="X54" i="1"/>
  <c r="Y54" i="1" s="1"/>
  <c r="AG223" i="1"/>
  <c r="AC223" i="1"/>
  <c r="X342" i="1"/>
  <c r="Y342" i="1"/>
  <c r="AB845" i="1"/>
  <c r="AC845" i="1" s="1"/>
  <c r="Y1225" i="1"/>
  <c r="Y602" i="1"/>
  <c r="AG163" i="1"/>
  <c r="AC110" i="1"/>
  <c r="AG211" i="1"/>
  <c r="AB315" i="1"/>
  <c r="AG315" i="1" s="1"/>
  <c r="AC315" i="1"/>
  <c r="AA315" i="1"/>
  <c r="X146" i="1"/>
  <c r="Y146" i="1"/>
  <c r="AC319" i="1"/>
  <c r="AG264" i="1"/>
  <c r="Y387" i="1"/>
  <c r="Y159" i="1"/>
  <c r="AC112" i="1"/>
  <c r="AG112" i="1"/>
  <c r="X302" i="1"/>
  <c r="Y302" i="1"/>
  <c r="AA318" i="1"/>
  <c r="AB318" i="1"/>
  <c r="AG320" i="1"/>
  <c r="X460" i="1"/>
  <c r="Y460" i="1"/>
  <c r="X157" i="1"/>
  <c r="Y157" i="1"/>
  <c r="AG179" i="1"/>
  <c r="X105" i="1"/>
  <c r="Y105" i="1"/>
  <c r="AG190" i="1"/>
  <c r="AC190" i="1"/>
  <c r="AG194" i="1"/>
  <c r="AC194" i="1"/>
  <c r="AG196" i="1"/>
  <c r="AC196" i="1"/>
  <c r="Y544" i="1"/>
  <c r="AG135" i="1"/>
  <c r="AG151" i="1"/>
  <c r="AG165" i="1"/>
  <c r="AG304" i="1"/>
  <c r="AC126" i="1"/>
  <c r="AG105" i="1"/>
  <c r="AG245" i="1"/>
  <c r="AG301" i="1"/>
  <c r="AG130" i="1"/>
  <c r="AG148" i="1"/>
  <c r="AG197" i="1"/>
  <c r="AG224" i="1"/>
  <c r="AG312" i="1"/>
  <c r="AC124" i="1"/>
  <c r="AG96" i="1"/>
  <c r="AG111" i="1"/>
  <c r="AG152" i="1"/>
  <c r="AG154" i="1"/>
  <c r="AG158" i="1"/>
  <c r="AG168" i="1"/>
  <c r="AG180" i="1"/>
  <c r="AG182" i="1"/>
  <c r="X216" i="1"/>
  <c r="Y216" i="1" s="1"/>
  <c r="X296" i="1"/>
  <c r="Y296" i="1" s="1"/>
  <c r="AC206" i="1"/>
  <c r="AG206" i="1"/>
  <c r="Y329" i="1"/>
  <c r="X421" i="1"/>
  <c r="Y421" i="1" s="1"/>
  <c r="X186" i="1"/>
  <c r="Y186" i="1"/>
  <c r="AB316" i="1"/>
  <c r="AG316" i="1" s="1"/>
  <c r="AC316" i="1"/>
  <c r="Y370" i="1"/>
  <c r="Y513" i="1"/>
  <c r="AG1226" i="1"/>
  <c r="Y511" i="1"/>
  <c r="Y618" i="1"/>
  <c r="AG132" i="1"/>
  <c r="Y12" i="1"/>
  <c r="AG68" i="1"/>
  <c r="Y112" i="1"/>
  <c r="Y149" i="1"/>
  <c r="X437" i="1"/>
  <c r="Y437" i="1" s="1"/>
  <c r="Y413" i="1"/>
  <c r="Y33" i="1"/>
  <c r="AC108" i="1"/>
  <c r="AG108" i="1"/>
  <c r="AC121" i="1"/>
  <c r="AG121" i="1"/>
  <c r="X365" i="1"/>
  <c r="Y365" i="1" s="1"/>
  <c r="AC310" i="1"/>
  <c r="Y524" i="1"/>
  <c r="AG106" i="1"/>
  <c r="Y170" i="1"/>
  <c r="Y138" i="1"/>
  <c r="Y40" i="1"/>
  <c r="AG159" i="1"/>
  <c r="AG229" i="1"/>
  <c r="AG97" i="1"/>
  <c r="AC97" i="1"/>
  <c r="AC133" i="1"/>
  <c r="AG133" i="1"/>
  <c r="AC203" i="1"/>
  <c r="AG203" i="1"/>
  <c r="AC313" i="1"/>
  <c r="Y620" i="1"/>
  <c r="Y355" i="1"/>
  <c r="AB323" i="1"/>
  <c r="AC323" i="1" s="1"/>
  <c r="AG189" i="1"/>
  <c r="AG1232" i="1"/>
  <c r="AC1232" i="1"/>
  <c r="Y60" i="1"/>
  <c r="X130" i="1"/>
  <c r="Y130" i="1"/>
  <c r="AC1228" i="1"/>
  <c r="Y297" i="1"/>
  <c r="Y261" i="1"/>
  <c r="X295" i="1"/>
  <c r="Y295" i="1" s="1"/>
  <c r="AG317" i="1"/>
  <c r="AG64" i="1"/>
  <c r="AC64" i="1"/>
  <c r="X136" i="1"/>
  <c r="Y136" i="1" s="1"/>
  <c r="Y384" i="1"/>
  <c r="AG183" i="1"/>
  <c r="Y215" i="1"/>
  <c r="Y241" i="1"/>
  <c r="AG216" i="1"/>
  <c r="AC226" i="1"/>
  <c r="AG233" i="1"/>
  <c r="AG257" i="1"/>
  <c r="Y461" i="1"/>
  <c r="AG134" i="1"/>
  <c r="AG144" i="1"/>
  <c r="Y1083" i="1"/>
  <c r="Y115" i="1"/>
  <c r="Y7" i="1"/>
  <c r="X103" i="1"/>
  <c r="Y103" i="1" s="1"/>
  <c r="AC227" i="1"/>
  <c r="AG227" i="1"/>
  <c r="AC236" i="1"/>
  <c r="AG236" i="1"/>
  <c r="Y315" i="1"/>
  <c r="X319" i="1"/>
  <c r="Y319" i="1"/>
  <c r="X323" i="1"/>
  <c r="Y323" i="1" s="1"/>
  <c r="AG104" i="1"/>
  <c r="Y242" i="1"/>
  <c r="Y488" i="1"/>
  <c r="X35" i="1"/>
  <c r="Y35" i="1"/>
  <c r="X154" i="1"/>
  <c r="Y154" i="1" s="1"/>
  <c r="X158" i="1"/>
  <c r="Y158" i="1" s="1"/>
  <c r="X196" i="1"/>
  <c r="Y196" i="1"/>
  <c r="X291" i="1"/>
  <c r="Y291" i="1" s="1"/>
  <c r="AC481" i="1"/>
  <c r="AB1366" i="1"/>
  <c r="AC137" i="1"/>
  <c r="AG137" i="1"/>
  <c r="Y214" i="1"/>
  <c r="Y336" i="1"/>
  <c r="Y219" i="1"/>
  <c r="X6" i="1"/>
  <c r="Y6" i="1" s="1"/>
  <c r="X48" i="1"/>
  <c r="Y48" i="1" s="1"/>
  <c r="X86" i="1"/>
  <c r="Y86" i="1" s="1"/>
  <c r="X244" i="1"/>
  <c r="Y244" i="1" s="1"/>
  <c r="X254" i="1"/>
  <c r="Y254" i="1"/>
  <c r="Y288" i="1"/>
  <c r="X194" i="1"/>
  <c r="Y194" i="1" s="1"/>
  <c r="Y593" i="1"/>
  <c r="Y174" i="1"/>
  <c r="X414" i="1"/>
  <c r="Y414" i="1" s="1"/>
  <c r="Y4" i="1"/>
  <c r="Y718" i="1"/>
  <c r="Y652" i="1"/>
  <c r="Y333" i="1"/>
  <c r="Y235" i="1"/>
  <c r="AC224" i="1"/>
  <c r="Y21" i="1"/>
  <c r="X106" i="1"/>
  <c r="Y106" i="1"/>
  <c r="X120" i="1"/>
  <c r="Y120" i="1" s="1"/>
  <c r="Y188" i="1"/>
  <c r="AC191" i="1"/>
  <c r="AG191" i="1"/>
  <c r="AC218" i="1"/>
  <c r="AG218" i="1"/>
  <c r="AG270" i="1"/>
  <c r="Y240" i="1"/>
  <c r="Y135" i="1"/>
  <c r="Y72" i="1"/>
  <c r="Y119" i="1"/>
  <c r="X243" i="1"/>
  <c r="Y243" i="1" s="1"/>
  <c r="X426" i="1"/>
  <c r="Y426" i="1" s="1"/>
  <c r="X475" i="1"/>
  <c r="Y475" i="1"/>
  <c r="AG93" i="1"/>
  <c r="AG107" i="1"/>
  <c r="AG250" i="1"/>
  <c r="Y9" i="1"/>
  <c r="AG323" i="1"/>
  <c r="AG101" i="1"/>
  <c r="AG117" i="1"/>
  <c r="AG204" i="1"/>
  <c r="Y29" i="1"/>
  <c r="X26" i="1"/>
  <c r="Y26" i="1" s="1"/>
  <c r="X37" i="1"/>
  <c r="Y37" i="1" s="1"/>
  <c r="Y67" i="1"/>
  <c r="AG221" i="1"/>
  <c r="Y11" i="1"/>
  <c r="Y58" i="1"/>
  <c r="X61" i="1"/>
  <c r="Y61" i="1" s="1"/>
  <c r="AC65" i="1"/>
  <c r="AG65" i="1"/>
  <c r="X109" i="1"/>
  <c r="Y109" i="1"/>
  <c r="X207" i="1"/>
  <c r="Y207" i="1" s="1"/>
  <c r="X418" i="1"/>
  <c r="Y418" i="1" s="1"/>
  <c r="Y348" i="1"/>
  <c r="Y440" i="1"/>
  <c r="X92" i="1"/>
  <c r="Y92" i="1" s="1"/>
  <c r="X128" i="1"/>
  <c r="Y128" i="1"/>
  <c r="X147" i="1"/>
  <c r="Y147" i="1" s="1"/>
  <c r="X160" i="1"/>
  <c r="Y160" i="1" s="1"/>
  <c r="Y163" i="1"/>
  <c r="X176" i="1"/>
  <c r="Y176" i="1" s="1"/>
  <c r="X178" i="1"/>
  <c r="Y178" i="1" s="1"/>
  <c r="X204" i="1"/>
  <c r="Y204" i="1" s="1"/>
  <c r="X246" i="1"/>
  <c r="Y246" i="1" s="1"/>
  <c r="AC261" i="1"/>
  <c r="AG261" i="1"/>
  <c r="X263" i="1"/>
  <c r="Y263" i="1" s="1"/>
  <c r="X269" i="1"/>
  <c r="Y269" i="1" s="1"/>
  <c r="X340" i="1"/>
  <c r="Y340" i="1" s="1"/>
  <c r="X132" i="1"/>
  <c r="Y132" i="1"/>
  <c r="X270" i="1"/>
  <c r="Y270" i="1" s="1"/>
  <c r="X357" i="1"/>
  <c r="Y357" i="1" s="1"/>
  <c r="Y139" i="1"/>
  <c r="X56" i="1"/>
  <c r="Y56" i="1" s="1"/>
  <c r="AC322" i="1"/>
  <c r="Y39" i="1"/>
  <c r="Y83" i="1"/>
  <c r="Y45" i="1"/>
  <c r="X101" i="1"/>
  <c r="Y101" i="1" s="1"/>
  <c r="X143" i="1"/>
  <c r="Y143" i="1" s="1"/>
  <c r="X264" i="1"/>
  <c r="Y264" i="1" s="1"/>
  <c r="X341" i="1"/>
  <c r="Y341" i="1"/>
  <c r="AG1264" i="1"/>
  <c r="Y55" i="1"/>
  <c r="Y273" i="1"/>
  <c r="X23" i="1"/>
  <c r="Y23" i="1"/>
  <c r="Y32" i="1"/>
  <c r="X34" i="1"/>
  <c r="Y34" i="1"/>
  <c r="X57" i="1"/>
  <c r="Y57" i="1" s="1"/>
  <c r="X108" i="1"/>
  <c r="Y108" i="1" s="1"/>
  <c r="AC109" i="1"/>
  <c r="AG109" i="1"/>
  <c r="AC187" i="1"/>
  <c r="AG187" i="1"/>
  <c r="X722" i="1"/>
  <c r="Y722" i="1"/>
  <c r="X8" i="1"/>
  <c r="Y8" i="1" s="1"/>
  <c r="Y75" i="1"/>
  <c r="AC116" i="1"/>
  <c r="AG116" i="1"/>
  <c r="Y350" i="1"/>
  <c r="X5" i="1"/>
  <c r="Y5" i="1" s="1"/>
  <c r="X3" i="1"/>
  <c r="Y3" i="1"/>
  <c r="X71" i="1"/>
  <c r="Y71" i="1" s="1"/>
  <c r="AC125" i="1"/>
  <c r="AG125" i="1"/>
  <c r="X134" i="1"/>
  <c r="Y134" i="1" s="1"/>
  <c r="Y292" i="1"/>
  <c r="X78" i="1"/>
  <c r="Y78" i="1" s="1"/>
  <c r="AG114" i="1"/>
  <c r="Y81" i="1"/>
  <c r="AC144" i="1"/>
  <c r="X42" i="1"/>
  <c r="Y42" i="1"/>
  <c r="Y95" i="1"/>
  <c r="X141" i="1"/>
  <c r="Y141" i="1" s="1"/>
  <c r="X306" i="1"/>
  <c r="Y306" i="1" s="1"/>
  <c r="X369" i="1"/>
  <c r="Y369" i="1" s="1"/>
  <c r="X395" i="1"/>
  <c r="Y395" i="1" s="1"/>
  <c r="Y102" i="1"/>
  <c r="AC205" i="1"/>
  <c r="AG205" i="1"/>
  <c r="X223" i="1"/>
  <c r="Y223" i="1" s="1"/>
  <c r="X152" i="1"/>
  <c r="Y152" i="1" s="1"/>
  <c r="Y181" i="1"/>
  <c r="X184" i="1"/>
  <c r="Y184" i="1" s="1"/>
  <c r="X410" i="1"/>
  <c r="Y410" i="1" s="1"/>
  <c r="X91" i="1"/>
  <c r="Y91" i="1" s="1"/>
  <c r="Y104" i="1"/>
  <c r="Y287" i="1"/>
  <c r="Y110" i="1"/>
  <c r="X114" i="1"/>
  <c r="Y114" i="1" s="1"/>
  <c r="X116" i="1"/>
  <c r="Y116" i="1" s="1"/>
  <c r="X118" i="1"/>
  <c r="Y118" i="1"/>
  <c r="Y278" i="1"/>
  <c r="Y99" i="1"/>
  <c r="X189" i="1"/>
  <c r="Y189" i="1" s="1"/>
  <c r="X239" i="1"/>
  <c r="Y239" i="1" s="1"/>
  <c r="X265" i="1"/>
  <c r="Y265" i="1" s="1"/>
  <c r="X373" i="1"/>
  <c r="Y373" i="1" s="1"/>
  <c r="X389" i="1"/>
  <c r="Y389" i="1" s="1"/>
  <c r="X550" i="1"/>
  <c r="Y550" i="1" s="1"/>
  <c r="X490" i="1"/>
  <c r="Y490" i="1" s="1"/>
  <c r="X564" i="1"/>
  <c r="Y564" i="1" s="1"/>
  <c r="Y381" i="1"/>
  <c r="Y560" i="1"/>
  <c r="Y571" i="1"/>
  <c r="X571" i="1"/>
  <c r="X377" i="1"/>
  <c r="Y377" i="1"/>
  <c r="Y385" i="1"/>
  <c r="X582" i="1"/>
  <c r="Y582" i="1" s="1"/>
  <c r="X1075" i="1"/>
  <c r="Y1075" i="1" s="1"/>
  <c r="X1221" i="1"/>
  <c r="Y1221" i="1" s="1"/>
  <c r="X1228" i="1"/>
  <c r="Y1228" i="1"/>
  <c r="X1064" i="1"/>
  <c r="Y1064" i="1" s="1"/>
  <c r="X1067" i="1"/>
  <c r="Y1067" i="1" s="1"/>
  <c r="AC1028" i="1"/>
  <c r="X1219" i="1"/>
  <c r="Y1219" i="1" s="1"/>
  <c r="X1217" i="1"/>
  <c r="Y1217" i="1"/>
  <c r="X1357" i="1"/>
  <c r="Y1357" i="1"/>
  <c r="AG318" i="1" l="1"/>
  <c r="AC318" i="1"/>
  <c r="AG311" i="1"/>
  <c r="AC311" i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<sst xmlns="http://schemas.openxmlformats.org/spreadsheetml/2006/main" count="21965" uniqueCount="1703">
  <si>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</si>
  <si>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</si>
  <si>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</si>
  <si>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</si>
  <si>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</si>
  <si>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</si>
  <si>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</si>
  <si>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</si>
  <si>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</si>
  <si>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</si>
  <si>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</si>
  <si>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</si>
  <si>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</si>
  <si>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</si>
  <si>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</si>
  <si>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</si>
  <si>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</si>
  <si>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</si>
  <si>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</si>
  <si>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</si>
  <si>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</si>
  <si>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</si>
  <si>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</si>
  <si>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</si>
  <si>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</si>
  <si>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</si>
  <si>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</si>
  <si>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</si>
  <si>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</si>
  <si>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</si>
  <si>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</si>
  <si>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</si>
  <si>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</si>
  <si>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</si>
  <si>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</si>
  <si>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</si>
  <si>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</si>
  <si>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</si>
  <si>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</si>
  <si>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</si>
  <si>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</si>
  <si>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</si>
  <si>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</si>
  <si>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</si>
  <si>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</si>
  <si>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</si>
  <si>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</si>
  <si>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</si>
  <si>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</si>
  <si>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</si>
  <si>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</si>
  <si>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</si>
  <si>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</si>
  <si>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</si>
  <si>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</si>
  <si>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</si>
  <si>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</si>
  <si>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</si>
  <si>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</si>
  <si>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</si>
  <si>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</si>
  <si>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</si>
  <si>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</si>
  <si>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</si>
  <si>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</si>
  <si>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</si>
  <si>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</si>
  <si>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</si>
  <si>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</si>
  <si>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</si>
  <si>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</si>
  <si>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</si>
  <si>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</si>
  <si>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</si>
  <si>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</si>
  <si>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</si>
  <si>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</si>
  <si>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</si>
  <si>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</si>
  <si>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</si>
  <si>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</si>
  <si>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</si>
  <si>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</si>
  <si>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</si>
  <si>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</si>
  <si>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</si>
  <si>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</si>
  <si>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</si>
  <si>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</si>
  <si>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</si>
  <si>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</si>
  <si>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</si>
  <si>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</si>
  <si>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</si>
  <si>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</si>
  <si>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</si>
  <si>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</si>
  <si>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</si>
  <si>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</si>
  <si>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</si>
  <si>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</si>
  <si>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</si>
  <si>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</si>
  <si>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</si>
  <si>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</si>
  <si>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</si>
  <si>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</si>
  <si>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</si>
  <si>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</si>
  <si>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</si>
  <si>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</si>
  <si>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</si>
  <si>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</si>
  <si>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</si>
  <si>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</si>
  <si>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</si>
  <si>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</si>
  <si>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</si>
  <si>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</si>
  <si>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</si>
  <si>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</si>
  <si>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</si>
  <si>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</si>
  <si>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</si>
  <si>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</si>
  <si>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</si>
  <si>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</si>
  <si>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</si>
  <si>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</si>
  <si>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</si>
  <si>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</si>
  <si>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</si>
  <si>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</si>
  <si>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</si>
  <si>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</si>
  <si>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</si>
  <si>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</si>
  <si>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</si>
  <si>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</si>
  <si>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</si>
  <si>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</si>
  <si>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</si>
  <si>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</si>
  <si>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</si>
  <si>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</si>
  <si>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</si>
  <si>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</si>
  <si>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</si>
  <si>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</si>
  <si>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</si>
  <si>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</si>
  <si>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</si>
  <si>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</si>
  <si>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</si>
  <si>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</si>
  <si>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</si>
  <si>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</si>
  <si>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</si>
  <si>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</si>
  <si>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</si>
  <si>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</si>
  <si>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</si>
  <si>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</si>
  <si>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</si>
  <si>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</si>
  <si>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</si>
  <si>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</si>
  <si>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</si>
  <si>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</si>
  <si>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</si>
  <si>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</si>
  <si>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</si>
  <si>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</si>
  <si>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</si>
  <si>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</si>
  <si>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</si>
  <si>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</si>
  <si>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</si>
  <si>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</si>
  <si>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</si>
  <si>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</si>
  <si>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</si>
  <si>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</si>
  <si>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</si>
  <si>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</si>
  <si>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</si>
  <si>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</si>
  <si>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</si>
  <si>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</si>
  <si>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</si>
  <si>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</si>
  <si>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</si>
  <si>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</si>
  <si>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</si>
  <si>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</si>
  <si>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</si>
  <si>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</si>
  <si>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</si>
  <si>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</si>
  <si>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</si>
  <si>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</si>
  <si>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</si>
  <si>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</si>
  <si>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</si>
  <si>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</si>
  <si>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</si>
  <si>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</si>
  <si>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</si>
  <si>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</si>
  <si>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</si>
  <si>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</si>
  <si>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</si>
  <si>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</si>
  <si>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</si>
  <si>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</si>
  <si>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</si>
  <si>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</si>
  <si>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</si>
  <si>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</si>
  <si>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</si>
  <si>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</si>
  <si>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</si>
  <si>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</si>
  <si>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</si>
  <si>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</si>
  <si>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</si>
  <si>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</si>
  <si>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</si>
  <si>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</si>
  <si>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</si>
  <si>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</si>
  <si>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</si>
  <si>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</si>
  <si>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</si>
  <si>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</si>
  <si>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</si>
  <si>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</si>
  <si>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</si>
  <si>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</si>
  <si>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</si>
  <si>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</si>
  <si>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</si>
  <si>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</si>
  <si>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</si>
  <si>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</si>
  <si>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</si>
  <si>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</si>
  <si>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</si>
  <si>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</si>
  <si>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</si>
  <si>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</si>
  <si>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</si>
  <si>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</si>
  <si>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</si>
  <si>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</si>
  <si>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</si>
  <si>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</si>
  <si>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</si>
  <si>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</si>
  <si>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</si>
  <si>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</si>
  <si>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</si>
  <si>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</si>
  <si>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</si>
  <si>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</si>
  <si>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</si>
  <si>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</si>
  <si>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</si>
  <si>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</si>
  <si>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</si>
  <si>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</si>
  <si>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</si>
  <si>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</si>
  <si>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</si>
  <si>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</si>
  <si>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</si>
  <si>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</si>
  <si>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</si>
  <si>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</si>
  <si>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</si>
  <si>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</si>
  <si>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</si>
  <si>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</si>
  <si>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</si>
  <si>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</si>
  <si>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</si>
  <si>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</si>
  <si>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</si>
  <si>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</si>
  <si>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</si>
  <si>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</si>
  <si>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</si>
  <si>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</si>
  <si>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</si>
  <si>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</si>
  <si>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</si>
  <si>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</si>
  <si>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</si>
  <si>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</si>
  <si>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</si>
  <si>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</si>
  <si>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</si>
  <si>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</si>
  <si>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</si>
  <si>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</si>
  <si>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</si>
  <si>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</si>
  <si>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</si>
  <si>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</si>
  <si>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</si>
  <si>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</si>
  <si>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</si>
  <si>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</si>
  <si>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</si>
  <si>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</si>
  <si>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</si>
  <si>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</si>
  <si>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</si>
  <si>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</si>
  <si>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</si>
  <si>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</si>
  <si>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</si>
  <si>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</si>
  <si>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</si>
  <si>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</si>
  <si>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</si>
  <si>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</si>
  <si>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</si>
  <si>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</si>
  <si>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</si>
  <si>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</si>
  <si>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</si>
  <si>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</si>
  <si>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</si>
  <si>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</si>
  <si>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</si>
  <si>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</si>
  <si>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</si>
  <si>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</si>
  <si>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</si>
  <si>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</si>
  <si>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</si>
  <si>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</si>
  <si>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</si>
  <si>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</si>
  <si>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</si>
  <si>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</si>
  <si>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</si>
  <si>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</si>
  <si>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</si>
  <si>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</si>
  <si>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</si>
  <si>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</si>
  <si>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</si>
  <si>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</si>
  <si>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</si>
  <si>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</si>
  <si>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</si>
  <si>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</si>
  <si>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</si>
  <si>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</si>
  <si>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</si>
  <si>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</si>
  <si>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</si>
  <si>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</si>
  <si>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</si>
  <si>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</si>
  <si>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</si>
  <si>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</si>
  <si>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</si>
  <si>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</si>
  <si>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</si>
  <si>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</si>
  <si>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</si>
  <si>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</si>
  <si>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</si>
  <si>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</si>
  <si>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</si>
  <si>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</si>
  <si>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</si>
  <si>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</si>
  <si>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</si>
  <si>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</si>
  <si>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</si>
  <si>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</si>
  <si>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</si>
  <si>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</si>
  <si>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</si>
  <si>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</si>
  <si>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</si>
  <si>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</si>
  <si>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</si>
  <si>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</si>
  <si>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</si>
  <si>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</si>
  <si>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</si>
  <si>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</si>
  <si>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</si>
  <si>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</si>
  <si>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</si>
  <si>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</si>
  <si>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</si>
  <si>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</si>
  <si>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</si>
  <si>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</si>
  <si>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</si>
  <si>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</si>
  <si>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</si>
  <si>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</si>
  <si>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</si>
  <si>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</si>
  <si>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</si>
  <si>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</si>
  <si>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</si>
  <si>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</si>
  <si>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</si>
  <si>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</si>
  <si>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</si>
  <si>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</si>
  <si>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</si>
  <si>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</si>
  <si>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</si>
  <si>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</si>
  <si>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</si>
  <si>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</si>
  <si>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</si>
  <si>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</si>
  <si>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</si>
  <si>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</si>
  <si>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</si>
  <si>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</si>
  <si>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</si>
  <si>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</si>
  <si>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</si>
  <si>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</si>
  <si>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</si>
  <si>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</si>
  <si>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</si>
  <si>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</si>
  <si>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</si>
  <si>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</si>
  <si>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</si>
  <si>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</si>
  <si>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</si>
  <si>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</si>
  <si>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</si>
  <si>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</si>
  <si>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</si>
  <si>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</si>
  <si>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</si>
  <si>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</si>
  <si>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</si>
  <si>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</si>
  <si>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</si>
  <si>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</si>
  <si>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</si>
  <si>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</si>
  <si>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</si>
  <si>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</si>
  <si>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</si>
  <si>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</si>
  <si>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</si>
  <si>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</si>
  <si>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</si>
  <si>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</si>
  <si>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</si>
  <si>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</si>
  <si>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</si>
  <si>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</si>
  <si>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</si>
  <si>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</si>
  <si>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</si>
  <si>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</si>
  <si>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</si>
  <si>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</si>
  <si>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</si>
  <si>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</si>
  <si>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</si>
  <si>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</si>
  <si>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</si>
  <si>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</si>
  <si>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</si>
  <si>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</si>
  <si>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</si>
  <si>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</si>
  <si>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</si>
  <si>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</si>
  <si>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</si>
  <si>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</si>
  <si>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</si>
  <si>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</si>
  <si>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</si>
  <si>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</si>
  <si>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</si>
  <si>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</si>
  <si>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</si>
  <si>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</si>
  <si>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</si>
  <si>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</si>
  <si>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</si>
  <si>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</si>
  <si>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</si>
  <si>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</si>
  <si>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</si>
  <si>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</si>
  <si>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</si>
  <si>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</si>
  <si>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</si>
  <si>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</si>
  <si>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</si>
  <si>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</si>
  <si>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</si>
  <si>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</si>
  <si>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</si>
  <si>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</si>
  <si>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</si>
  <si>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</si>
  <si>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</si>
  <si>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</si>
  <si>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</si>
  <si>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</si>
  <si>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</si>
  <si>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</si>
  <si>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</si>
  <si>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</si>
  <si>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</si>
  <si>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</si>
  <si>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</si>
  <si>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</si>
  <si>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</si>
  <si>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</si>
  <si>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</si>
  <si>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</si>
  <si>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</si>
  <si>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</si>
  <si>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</si>
  <si>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</si>
  <si>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</si>
  <si>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</si>
  <si>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</si>
  <si>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</si>
  <si>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</si>
  <si>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</si>
  <si>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</si>
  <si>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</si>
  <si>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</si>
  <si>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</si>
  <si>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</si>
  <si>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</si>
  <si>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</si>
  <si>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</si>
  <si>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</si>
  <si>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</si>
  <si>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</si>
  <si>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</si>
  <si>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</si>
  <si>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</si>
  <si>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</si>
  <si>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</si>
  <si>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</si>
  <si>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</si>
  <si>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</si>
  <si>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</si>
  <si>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</si>
  <si>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</si>
  <si>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</si>
  <si>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</si>
  <si>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</si>
  <si>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</si>
  <si>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</si>
  <si>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</si>
  <si>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</si>
  <si>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</si>
  <si>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</si>
  <si>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</si>
  <si>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</si>
  <si>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</si>
  <si>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</si>
  <si>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</si>
  <si>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</si>
  <si>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</si>
  <si>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</si>
  <si>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</si>
  <si>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</si>
  <si>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</si>
  <si>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</si>
  <si>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</si>
  <si>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</si>
  <si>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</si>
  <si>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</si>
  <si>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</si>
  <si>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</si>
  <si>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</si>
  <si>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</si>
  <si>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</si>
  <si>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</si>
  <si>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</si>
  <si>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</si>
  <si>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</si>
  <si>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</si>
  <si>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</si>
  <si>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</si>
  <si>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</si>
  <si>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</si>
  <si>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</si>
  <si>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</si>
  <si>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</si>
  <si>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</si>
  <si>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</si>
  <si>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</si>
  <si>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</si>
  <si>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</si>
  <si>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</si>
  <si>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</si>
  <si>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</si>
  <si>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</si>
  <si>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</si>
  <si>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</si>
  <si>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</si>
  <si>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</si>
  <si>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</si>
  <si>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</si>
  <si>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</si>
  <si>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</si>
  <si>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</si>
  <si>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</si>
  <si>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</si>
  <si>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</si>
  <si>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</si>
  <si>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</si>
  <si>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</si>
  <si>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</si>
  <si>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</si>
  <si>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</si>
  <si>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</si>
  <si>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</si>
  <si>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</si>
  <si>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</si>
  <si>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</si>
  <si>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</si>
  <si>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</si>
  <si>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</si>
  <si>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</si>
  <si>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</si>
  <si>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</si>
  <si>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</si>
  <si>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</si>
  <si>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</si>
  <si>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</si>
  <si>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</si>
  <si>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</si>
  <si>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</si>
  <si>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</si>
  <si>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</si>
  <si>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</si>
  <si>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</si>
  <si>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</si>
  <si>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</si>
  <si>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</si>
  <si>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</si>
  <si>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</si>
  <si>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</si>
  <si>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</si>
  <si>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</si>
  <si>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</si>
  <si>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</si>
  <si>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</si>
  <si>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</si>
  <si>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</si>
  <si>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</si>
  <si>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</si>
  <si>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</si>
  <si>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</si>
  <si>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</si>
  <si>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</si>
  <si>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</si>
  <si>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</si>
  <si>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</si>
  <si>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</si>
  <si>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</si>
  <si>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</si>
  <si>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</si>
  <si>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</si>
  <si>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</si>
  <si>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</si>
  <si>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</si>
  <si>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</si>
  <si>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</si>
  <si>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</si>
  <si>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</si>
  <si>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</si>
  <si>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</si>
  <si>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</si>
  <si>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</si>
  <si>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</si>
  <si>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</si>
  <si>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</si>
  <si>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</si>
  <si>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</si>
  <si>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</si>
  <si>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</si>
  <si>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</si>
  <si>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</si>
  <si>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</si>
  <si>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</si>
  <si>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</si>
  <si>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</si>
  <si>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</si>
  <si>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</si>
  <si>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</si>
  <si>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</si>
  <si>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</si>
  <si>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</si>
  <si>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</si>
  <si>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</si>
  <si>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</si>
  <si>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</si>
  <si>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</si>
  <si>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</si>
  <si>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</si>
  <si>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</si>
  <si>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</si>
  <si>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</si>
  <si>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</si>
  <si>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</si>
  <si>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</si>
  <si>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</si>
  <si>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</si>
  <si>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</si>
  <si>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</si>
  <si>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</si>
  <si>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</si>
  <si>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</si>
  <si>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</si>
  <si>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</si>
  <si>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</si>
  <si>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</si>
  <si>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</si>
  <si>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</si>
  <si>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</si>
  <si>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</si>
  <si>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</si>
  <si>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</si>
  <si>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</si>
  <si>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</si>
  <si>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</si>
  <si>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</si>
  <si>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</si>
  <si>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</si>
  <si>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</si>
  <si>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</si>
  <si>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</si>
  <si>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</si>
  <si>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</si>
  <si>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</si>
  <si>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</si>
  <si>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</si>
  <si>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</si>
  <si>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</si>
  <si>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</si>
  <si>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</si>
  <si>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</si>
  <si>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</si>
  <si>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</si>
  <si>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</si>
  <si>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</si>
  <si>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</si>
  <si>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</si>
  <si>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</si>
  <si>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</si>
  <si>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</si>
  <si>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</si>
  <si>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</si>
  <si>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</si>
  <si>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</si>
  <si>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</si>
  <si>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</si>
  <si>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</si>
  <si>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</si>
  <si>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</si>
  <si>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</si>
  <si>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</si>
  <si>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</si>
  <si>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</si>
  <si>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</si>
  <si>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</si>
  <si>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</si>
  <si>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</si>
  <si>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</si>
  <si>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</si>
  <si>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</si>
  <si>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</si>
  <si>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</si>
  <si>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</si>
  <si>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</si>
  <si>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</si>
  <si>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</si>
  <si>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</si>
  <si>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</si>
  <si>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</si>
  <si>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</si>
  <si>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</si>
  <si>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</si>
  <si>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</si>
  <si>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</si>
  <si>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</si>
  <si>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</si>
  <si>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</si>
  <si>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</si>
  <si>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</si>
  <si>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</si>
  <si>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</si>
  <si>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</si>
  <si>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</si>
  <si>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</si>
  <si>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</si>
  <si>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</si>
  <si>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</si>
  <si>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</si>
  <si>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</si>
  <si>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</si>
  <si>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</si>
  <si>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</si>
  <si>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</si>
  <si>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</si>
  <si>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</si>
  <si>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</si>
  <si>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</si>
  <si>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</si>
  <si>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</si>
  <si>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</si>
  <si>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</si>
  <si>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</si>
  <si>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</si>
  <si>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</si>
  <si>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</si>
  <si>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</si>
  <si>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</si>
  <si>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</si>
  <si>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</si>
  <si>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</si>
  <si>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</si>
  <si>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</si>
  <si>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</si>
  <si>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</si>
  <si>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</si>
  <si>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</si>
  <si>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</si>
  <si>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</si>
  <si>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</si>
  <si>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</si>
  <si>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</si>
  <si>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</si>
  <si>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</si>
  <si>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</si>
  <si>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</si>
  <si>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</si>
  <si>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</si>
  <si>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</si>
  <si>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</si>
  <si>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</si>
  <si>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</si>
  <si>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</si>
  <si>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</si>
  <si>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</si>
  <si>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</si>
  <si>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</si>
  <si>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</si>
  <si>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</si>
  <si>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</si>
  <si>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</si>
  <si>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</si>
  <si>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</si>
  <si>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</si>
  <si>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</si>
  <si>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</si>
  <si>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</si>
  <si>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</si>
  <si>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</si>
  <si>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</si>
  <si>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</si>
  <si>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</si>
  <si>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</si>
  <si>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</si>
  <si>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</si>
  <si>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</si>
  <si>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</si>
  <si>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</si>
  <si>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</si>
  <si>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</si>
  <si>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</si>
  <si>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</si>
  <si>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</si>
  <si>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</si>
  <si>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</si>
  <si>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</si>
  <si>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</si>
  <si>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</si>
  <si>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</si>
  <si>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</si>
  <si>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</si>
  <si>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</si>
  <si>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</si>
  <si>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</si>
  <si>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</si>
  <si>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</si>
  <si>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</si>
  <si>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</si>
  <si>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</si>
  <si>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</si>
  <si>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</si>
  <si>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</si>
  <si>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</si>
  <si>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</si>
  <si>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</si>
  <si>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</si>
  <si>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</si>
  <si>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</si>
  <si>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</si>
  <si>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</si>
  <si>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</si>
  <si>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</si>
  <si>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</si>
  <si>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</si>
  <si>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</si>
  <si>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</si>
  <si>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</si>
  <si>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</si>
  <si>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</si>
  <si>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</si>
  <si>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</si>
  <si>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</si>
  <si>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</si>
  <si>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</si>
  <si>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</si>
  <si>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</si>
  <si>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</si>
  <si>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</si>
  <si>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</si>
  <si>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</si>
  <si>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</si>
  <si>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</si>
  <si>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</si>
  <si>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</si>
  <si>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</si>
  <si>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</si>
  <si>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</si>
  <si>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</si>
  <si>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</si>
  <si>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</si>
  <si>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</si>
  <si>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</si>
  <si>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</si>
  <si>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</si>
  <si>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</si>
  <si>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</si>
  <si>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</si>
  <si>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</si>
  <si>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</si>
  <si>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</si>
  <si>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</si>
  <si>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</si>
  <si>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</si>
  <si>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</si>
  <si>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</si>
  <si>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</si>
  <si>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</si>
  <si>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</si>
  <si>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</si>
  <si>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</si>
  <si>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</si>
  <si>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</si>
  <si>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</si>
  <si>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</si>
  <si>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</si>
  <si>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</si>
  <si>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</si>
  <si>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</si>
  <si>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</si>
  <si>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</si>
  <si>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</si>
  <si>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</si>
  <si>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</si>
  <si>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</si>
  <si>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</si>
  <si>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</si>
  <si>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</si>
  <si>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</si>
  <si>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</si>
  <si>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</si>
  <si>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</si>
  <si>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</si>
  <si>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</si>
  <si>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</si>
  <si>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</si>
  <si>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</si>
  <si>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</si>
  <si>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</si>
  <si>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</si>
  <si>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</si>
  <si>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</si>
  <si>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</si>
  <si>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</si>
  <si>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</si>
  <si>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</si>
  <si>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</si>
  <si>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</si>
  <si>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</si>
  <si>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</si>
  <si>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</si>
  <si>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</si>
  <si>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</si>
  <si>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</si>
  <si>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</si>
  <si>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</si>
  <si>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</si>
  <si>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</si>
  <si>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</si>
  <si>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</si>
  <si>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</si>
  <si>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</si>
  <si>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</si>
  <si>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</si>
  <si>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</si>
  <si>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</si>
  <si>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</si>
  <si>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</si>
  <si>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</si>
  <si>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</si>
  <si>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</si>
  <si>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</si>
  <si>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</si>
  <si>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</si>
  <si>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</si>
  <si>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</si>
  <si>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</si>
  <si>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</si>
  <si>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</si>
  <si>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</si>
  <si>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</si>
  <si>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</si>
  <si>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</si>
  <si>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</si>
  <si>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</si>
  <si>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</si>
  <si>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</si>
  <si>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</si>
  <si>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</si>
  <si>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</si>
  <si>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</si>
  <si>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</si>
  <si>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</si>
  <si>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</si>
  <si>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</si>
  <si>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</si>
  <si>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</si>
  <si>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</si>
  <si>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</si>
  <si>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</si>
  <si>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</si>
  <si>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</si>
  <si>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</si>
  <si>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</si>
  <si>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</si>
  <si>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</si>
  <si>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</si>
  <si>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</si>
  <si>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</si>
  <si>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</si>
  <si>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</si>
  <si>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</si>
  <si>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</si>
  <si>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</si>
  <si>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</si>
  <si>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</si>
  <si>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</si>
  <si>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</si>
  <si>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</si>
  <si>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</si>
  <si>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</si>
  <si>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</si>
  <si>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</si>
  <si>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</si>
  <si>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</si>
  <si>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</si>
  <si>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</si>
  <si>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</si>
  <si>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</si>
  <si>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</si>
  <si>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</si>
  <si>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</si>
  <si>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</si>
  <si>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</si>
  <si>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</si>
  <si>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</si>
  <si>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</si>
  <si>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</si>
  <si>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</si>
  <si>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</si>
  <si>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</si>
  <si>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</si>
  <si>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</si>
  <si>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</si>
  <si>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</si>
  <si>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</si>
  <si>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</si>
  <si>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</si>
  <si>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</si>
  <si>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</si>
  <si>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</si>
  <si>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</si>
  <si>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</si>
  <si>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</si>
  <si>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</si>
  <si>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</si>
  <si>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</si>
  <si>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</si>
  <si>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</si>
  <si>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</si>
  <si>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</si>
  <si>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</si>
  <si>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</si>
  <si>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</si>
  <si>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</si>
  <si>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</si>
  <si>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</si>
  <si>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</si>
  <si>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</si>
  <si>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</si>
  <si>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</si>
  <si>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</si>
  <si>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</si>
  <si>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</si>
  <si>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</si>
  <si>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</si>
  <si>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</si>
  <si>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</si>
  <si>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</si>
  <si>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</si>
  <si>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</si>
  <si>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</si>
  <si>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</si>
  <si>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</si>
  <si>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</si>
  <si>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</si>
  <si>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</si>
  <si>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</si>
  <si>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</si>
  <si>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</si>
  <si>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</si>
  <si>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</si>
  <si>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</si>
  <si>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</si>
  <si>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</si>
  <si>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</si>
  <si>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</si>
  <si>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</si>
  <si>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</si>
  <si>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</si>
  <si>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</si>
  <si>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</si>
  <si>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</si>
  <si>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</si>
  <si>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</si>
  <si>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</si>
  <si>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</si>
  <si>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</si>
  <si>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</si>
  <si>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</si>
  <si>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</si>
  <si>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</si>
  <si>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</si>
  <si>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</si>
  <si>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</si>
  <si>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</si>
  <si>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</si>
  <si>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</si>
  <si>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</si>
  <si>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</si>
  <si>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</si>
  <si>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</si>
  <si>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</si>
  <si>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</si>
  <si>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</si>
  <si>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</si>
  <si>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</si>
  <si>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</si>
  <si>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</si>
  <si>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</si>
  <si>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</si>
  <si>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</si>
  <si>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</si>
  <si>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</si>
  <si>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</si>
  <si>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</si>
  <si>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</si>
  <si>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</si>
  <si>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</si>
  <si>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</si>
  <si>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</si>
  <si>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</si>
  <si>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</si>
  <si>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</si>
  <si>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</si>
  <si>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</si>
  <si>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</si>
  <si>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</si>
  <si>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</si>
  <si>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</si>
  <si>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</si>
  <si>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</si>
  <si>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</si>
  <si>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</si>
  <si>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</si>
  <si>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</si>
  <si>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</si>
  <si>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</si>
  <si>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</si>
  <si>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</si>
  <si>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</si>
  <si>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</si>
  <si>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</si>
  <si>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</si>
  <si>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</si>
  <si>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</si>
  <si>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</si>
  <si>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</si>
  <si>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</si>
  <si>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</si>
  <si>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</si>
  <si>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</si>
  <si>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</si>
  <si>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</si>
  <si>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</si>
  <si>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</si>
  <si>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</si>
  <si>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</si>
  <si>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</si>
  <si>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</si>
  <si>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</si>
  <si>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</si>
  <si>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</si>
  <si>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</si>
  <si>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</si>
  <si>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</si>
  <si>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</si>
  <si>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</si>
  <si>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</si>
  <si>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</si>
  <si>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</si>
  <si>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</si>
  <si>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</si>
  <si>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</si>
  <si>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</si>
  <si>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</si>
  <si>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</si>
  <si>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</si>
  <si>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</si>
  <si>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</si>
  <si>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</si>
  <si>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</si>
  <si>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</si>
  <si>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</si>
  <si>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</si>
  <si>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</si>
  <si>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</si>
  <si>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</si>
  <si>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</si>
  <si>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</si>
  <si>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</si>
  <si>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</si>
  <si>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</si>
  <si>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</si>
  <si>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</si>
  <si>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</si>
  <si>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</si>
  <si>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</si>
  <si>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</si>
  <si>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</si>
  <si>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</si>
  <si>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</si>
  <si>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</si>
  <si>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</si>
  <si>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</si>
  <si>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</si>
  <si>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</si>
  <si>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</si>
  <si>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</si>
  <si>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</si>
  <si>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</si>
  <si>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</si>
  <si>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</si>
  <si>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</si>
  <si>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</si>
  <si>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</si>
  <si>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</si>
  <si>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</si>
  <si>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</si>
  <si>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</si>
  <si>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</si>
  <si>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</si>
  <si>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</si>
  <si>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</si>
  <si>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</si>
  <si>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</si>
  <si>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</si>
  <si>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</si>
  <si>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</si>
  <si>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</si>
  <si>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</si>
  <si>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</si>
  <si>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</si>
  <si>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</si>
  <si>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</si>
  <si>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</si>
  <si>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</si>
  <si>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</si>
  <si>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</si>
  <si>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</si>
  <si>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</si>
  <si>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</si>
  <si>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</si>
  <si>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</si>
  <si>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</si>
  <si>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</si>
  <si>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</si>
  <si>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</si>
  <si>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</si>
  <si>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</si>
  <si>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</si>
  <si>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</si>
  <si>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</si>
  <si>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</si>
  <si>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</si>
  <si>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</si>
  <si>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</si>
  <si>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</si>
  <si>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</si>
  <si>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</si>
  <si>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</si>
  <si>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</si>
  <si>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</si>
  <si>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</si>
  <si>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</si>
  <si>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</si>
  <si>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</si>
  <si>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</si>
  <si>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</si>
  <si>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</si>
  <si>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</si>
  <si>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</si>
  <si>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</si>
  <si>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</si>
  <si>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</si>
  <si>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</si>
  <si>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</si>
  <si>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</si>
  <si>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</si>
  <si>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</si>
  <si>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</si>
  <si>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</si>
  <si>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</si>
  <si>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</si>
  <si>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</si>
  <si>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</si>
  <si>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</si>
  <si>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</si>
  <si>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</si>
  <si>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</si>
  <si>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</si>
  <si>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</si>
  <si>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</si>
  <si>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</si>
  <si>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</si>
  <si>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</si>
  <si>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</si>
  <si>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</si>
  <si>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</si>
  <si>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</si>
  <si>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</si>
  <si>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</si>
  <si>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</si>
  <si>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</si>
  <si>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</si>
  <si>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</si>
  <si>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</si>
  <si>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</si>
  <si>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</si>
  <si>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</si>
  <si>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</si>
  <si>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</si>
  <si>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</si>
  <si>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</si>
  <si>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</si>
  <si>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</si>
  <si>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</si>
  <si>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</si>
  <si>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</si>
  <si>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</si>
  <si>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</si>
  <si>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</si>
  <si>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</si>
  <si>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</si>
  <si>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</si>
  <si>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</si>
  <si>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</si>
  <si>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</si>
  <si>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</si>
  <si>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</si>
  <si>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</si>
  <si>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</si>
  <si>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</si>
  <si>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</si>
  <si>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</si>
  <si>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</si>
  <si>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</si>
  <si>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</si>
  <si>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</si>
  <si>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</si>
  <si>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</si>
  <si>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</si>
  <si>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</si>
  <si>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</si>
  <si>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</si>
  <si>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</si>
  <si>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</si>
  <si>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</si>
  <si>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</si>
  <si>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</si>
  <si>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</si>
  <si>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</si>
  <si>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</si>
  <si>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</si>
  <si>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</si>
  <si>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</si>
  <si>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</si>
  <si>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</si>
  <si>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</si>
  <si>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</si>
  <si>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</si>
  <si>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</si>
  <si>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</si>
  <si>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</si>
  <si>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</si>
  <si>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</si>
  <si>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</si>
  <si>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</si>
  <si>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</si>
  <si>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</si>
  <si>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</si>
  <si>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</si>
  <si>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</si>
  <si>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</si>
  <si>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</si>
  <si>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</si>
  <si>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</si>
  <si>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</si>
  <si>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</si>
  <si>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</si>
  <si>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</si>
  <si>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</si>
  <si>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</si>
  <si>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</si>
  <si>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</si>
  <si>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</si>
  <si>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</si>
  <si>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</si>
  <si>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</si>
  <si>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</si>
  <si>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</si>
  <si>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</si>
  <si>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</si>
  <si>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</si>
  <si>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</si>
  <si>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</si>
  <si>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</si>
  <si>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</si>
  <si>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</si>
  <si>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</si>
  <si>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</si>
  <si>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</si>
  <si>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</si>
  <si>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</si>
  <si>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</si>
  <si>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</si>
  <si>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</si>
  <si>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</si>
  <si>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</si>
  <si>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</si>
  <si>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</si>
  <si>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</si>
  <si>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</si>
  <si>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</si>
  <si>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</si>
  <si>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</si>
  <si>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</si>
  <si>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</si>
  <si>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</si>
  <si>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</si>
  <si>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</si>
  <si>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</si>
  <si>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</si>
  <si>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</si>
  <si>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</si>
  <si>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</si>
  <si>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</si>
  <si>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</si>
  <si>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</si>
  <si>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</si>
  <si>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</si>
  <si>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</si>
  <si>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</si>
  <si>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</si>
  <si>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</si>
  <si>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</si>
  <si>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</si>
  <si>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</si>
  <si>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</si>
  <si>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</si>
  <si>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</si>
  <si>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</si>
  <si>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</si>
  <si>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</si>
  <si>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</si>
  <si>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</si>
  <si>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</si>
  <si>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</si>
  <si>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</si>
  <si>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</si>
  <si>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</si>
  <si>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</si>
  <si>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</si>
  <si>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</si>
  <si>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</si>
  <si>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</si>
  <si>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</si>
  <si>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</si>
  <si>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</si>
  <si>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</si>
  <si>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</si>
  <si>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</si>
  <si>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</si>
  <si>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</si>
  <si>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</si>
  <si>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</si>
  <si>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</si>
  <si>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</si>
  <si>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</si>
  <si>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</si>
  <si>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</si>
  <si>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</si>
  <si>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</si>
  <si>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</si>
  <si>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</si>
  <si>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</si>
  <si>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</si>
  <si>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</si>
  <si>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</si>
  <si>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</si>
  <si>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</si>
  <si>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</si>
  <si>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</si>
  <si>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</si>
  <si>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</si>
  <si>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</si>
  <si>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</si>
  <si>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</si>
  <si>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</si>
  <si>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</si>
  <si>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</si>
  <si>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</si>
  <si>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</si>
  <si>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</si>
  <si>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</si>
  <si>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</si>
  <si>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</si>
  <si>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</si>
  <si>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</si>
  <si>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</si>
  <si>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</si>
  <si>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</si>
  <si>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</si>
  <si>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</si>
  <si>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</si>
  <si>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</si>
  <si>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</si>
  <si>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</si>
  <si>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</si>
  <si>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</si>
  <si>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</si>
  <si>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</si>
  <si>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</si>
  <si>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</si>
  <si>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</si>
  <si>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</si>
  <si>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</si>
  <si>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</si>
  <si>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</si>
  <si>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</si>
  <si>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</si>
  <si>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</si>
  <si>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</si>
  <si>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</si>
  <si>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</si>
  <si>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</si>
  <si>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</si>
  <si>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</si>
  <si>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</si>
  <si>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</si>
  <si>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</si>
  <si>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</si>
  <si>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</si>
  <si>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</si>
  <si>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</si>
  <si>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</si>
  <si>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</si>
  <si>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</si>
  <si>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</si>
  <si>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</si>
  <si>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</si>
  <si>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</si>
  <si>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</si>
  <si>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</si>
  <si>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</si>
  <si>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</si>
  <si>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</si>
  <si>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</si>
  <si>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</si>
  <si>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</si>
  <si>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</si>
  <si>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</si>
  <si>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</si>
  <si>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</si>
  <si>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</si>
  <si>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</si>
  <si>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</si>
  <si>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</si>
  <si>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</si>
  <si>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</si>
  <si>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</si>
  <si>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</si>
  <si>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</si>
  <si>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</si>
  <si>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</si>
  <si>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</si>
  <si>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</si>
  <si>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</si>
  <si>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</si>
  <si>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</si>
  <si>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</si>
  <si>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</si>
  <si>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</si>
  <si>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</si>
  <si>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</si>
  <si>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</si>
  <si>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</si>
  <si>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</si>
  <si>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</si>
  <si>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</si>
  <si>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</si>
  <si>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</si>
  <si>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</si>
  <si>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</si>
  <si>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</si>
  <si>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</si>
  <si>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</si>
  <si>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</si>
  <si>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</si>
  <si>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</si>
  <si>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</si>
  <si>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</si>
  <si>
    <t>财务修改政策及期末余额</t>
    <phoneticPr fontId="29" type="noConversion"/>
  </si>
  <si>
    <t>财务修改</t>
    <phoneticPr fontId="29" type="noConversion"/>
  </si>
  <si>
    <t>财务修改</t>
    <phoneticPr fontId="29" type="noConversion"/>
  </si>
  <si>
    <t>带余额转出</t>
    <phoneticPr fontId="29" type="noConversion"/>
  </si>
  <si>
    <t>客户仅回款</t>
  </si>
  <si>
    <t>媒体消耗25478550，客户溢价除以0.75</t>
  </si>
  <si>
    <t>后台消耗</t>
  </si>
  <si>
    <t>媒体折扣15%</t>
    <phoneticPr fontId="29" type="noConversion"/>
  </si>
  <si>
    <t>13822.16客户付降框损失</t>
    <phoneticPr fontId="29" type="noConversion"/>
  </si>
  <si>
    <t>无</t>
    <phoneticPr fontId="29" type="noConversion"/>
  </si>
  <si>
    <t>无</t>
    <phoneticPr fontId="29" type="noConversion"/>
  </si>
  <si>
    <t>跑超</t>
    <phoneticPr fontId="29" type="noConversion"/>
  </si>
  <si>
    <t>返货</t>
    <phoneticPr fontId="29" type="noConversion"/>
  </si>
  <si>
    <t>返货</t>
    <phoneticPr fontId="29" type="noConversion"/>
  </si>
  <si>
    <t>16年Q4在vivo配返金额中697,722.37元为，优先消耗了返点金额</t>
    <phoneticPr fontId="29" type="noConversion"/>
  </si>
  <si>
    <t>16年返点84000</t>
    <phoneticPr fontId="29" type="noConversion"/>
  </si>
  <si>
    <t>返货</t>
    <phoneticPr fontId="29" type="noConversion"/>
  </si>
  <si>
    <t>客户现金消耗</t>
    <phoneticPr fontId="29" type="noConversion"/>
  </si>
  <si>
    <t>返货补返充值</t>
    <phoneticPr fontId="29" type="noConversion"/>
  </si>
  <si>
    <t>961.17返货充值</t>
    <phoneticPr fontId="29" type="noConversion"/>
  </si>
  <si>
    <t>90w+336200为16年下单及返点</t>
    <phoneticPr fontId="29" type="noConversion"/>
  </si>
  <si>
    <t>浙江天猫技术有限公司</t>
    <phoneticPr fontId="29" type="noConversion"/>
  </si>
  <si>
    <t>浙江天猫技术有限公司</t>
    <phoneticPr fontId="29" type="noConversion"/>
  </si>
  <si>
    <t>北京百度网讯科技有限公司</t>
    <phoneticPr fontId="29" type="noConversion"/>
  </si>
  <si>
    <t>10000个CPD</t>
  </si>
  <si>
    <t>有后台</t>
  </si>
  <si>
    <t>北京六间房科技有限公司-六间房秀场</t>
  </si>
  <si>
    <t>赔付6w，后返返点按照现金点抵扣造成23067.36坏账</t>
    <phoneticPr fontId="29" type="noConversion"/>
  </si>
  <si>
    <t>CPM</t>
    <phoneticPr fontId="29" type="noConversion"/>
  </si>
  <si>
    <t>16年余额</t>
    <phoneticPr fontId="29" type="noConversion"/>
  </si>
  <si>
    <t>智媒</t>
    <phoneticPr fontId="29" type="noConversion"/>
  </si>
  <si>
    <t>折扣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</si>
</sst>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22" fillId="0" borderId="0" xfId="2" applyNumberFormat="1" applyFont="1" applyFill="1" applyBorder="1" applyAlignment="1">
      <alignment vertical="center"/>
    </xf>
    <xf numFmtId="43" fontId="22" fillId="0" borderId="0" xfId="1" applyFont="1" applyFill="1" applyBorder="1" applyAlignment="1">
      <alignment vertical="top"/>
    </xf>
    <xf numFmtId="0" fontId="22" fillId="0" borderId="5" xfId="0" applyFont="1" applyFill="1" applyBorder="1" applyAlignment="1">
      <alignment horizontal="left" vertical="center"/>
    </xf>
    <xf numFmtId="43" fontId="22" fillId="0" borderId="0" xfId="1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84"/>
  <sheetViews>
    <sheetView tabSelected="1" workbookViewId="0">
      <pane ySplit="1" topLeftCell="A2" activePane="bottomLeft" state="frozen"/>
      <selection pane="bottomLeft" activeCell="K1397" sqref="K1397"/>
    </sheetView>
  </sheetViews>
  <sheetFormatPr defaultColWidth="9" defaultRowHeight="11.5" x14ac:dyDescent="0.25"/>
  <cols>
    <col min="1" max="1" width="4.90625" style="126" customWidth="1"/>
    <col min="2" max="2" width="7.453125" style="126" customWidth="1"/>
    <col min="3" max="3" width="6.08984375" style="126" customWidth="1"/>
    <col min="4" max="4" width="7" style="126" hidden="1" customWidth="1"/>
    <col min="5" max="5" width="7.26953125" style="126" hidden="1" customWidth="1"/>
    <col min="6" max="6" width="17.453125" style="126" customWidth="1"/>
    <col min="7" max="7" width="23.26953125" style="126" customWidth="1"/>
    <col min="8" max="8" width="23.7265625" style="126" hidden="1" customWidth="1"/>
    <col min="9" max="9" width="8.36328125" style="126" hidden="1" customWidth="1"/>
    <col min="10" max="10" width="18.453125" style="126" hidden="1" customWidth="1"/>
    <col min="11" max="11" width="21.08984375" style="126" customWidth="1"/>
    <col min="12" max="12" width="22.26953125" style="126" customWidth="1"/>
    <col min="13" max="13" width="8" style="126" customWidth="1"/>
    <col min="14" max="14" width="6.6328125" style="127" customWidth="1"/>
    <col min="15" max="15" width="5.453125" style="127" customWidth="1"/>
    <col min="16" max="16" width="9.7265625" style="127" customWidth="1"/>
    <col min="17" max="17" width="9.26953125" style="128" customWidth="1"/>
    <col min="18" max="18" width="11.6328125" style="128" hidden="1" customWidth="1"/>
    <col min="19" max="19" width="10.26953125" style="128" hidden="1" customWidth="1"/>
    <col min="20" max="20" width="11.453125" style="128" hidden="1" customWidth="1"/>
    <col min="21" max="21" width="15.6328125" style="128" hidden="1" customWidth="1"/>
    <col min="22" max="22" width="14.90625" style="128" customWidth="1"/>
    <col min="23" max="25" width="14.36328125" style="128" hidden="1" customWidth="1"/>
    <col min="26" max="26" width="12.453125" style="128" customWidth="1"/>
    <col min="27" max="27" width="16.36328125" style="128" customWidth="1"/>
    <col min="28" max="29" width="12.90625" style="128" customWidth="1"/>
    <col min="30" max="30" width="13.26953125" style="128" customWidth="1"/>
    <col min="31" max="31" width="14.453125" style="127" customWidth="1"/>
    <col min="32" max="32" width="13.26953125" style="128" customWidth="1"/>
    <col min="33" max="33" width="11.453125" style="128" customWidth="1"/>
    <col min="34" max="34" width="9.6328125" style="128" bestFit="1" customWidth="1"/>
    <col min="35" max="35" width="10.453125" style="128" customWidth="1"/>
    <col min="36" max="36" width="8.90625" style="127" customWidth="1"/>
    <col min="37" max="37" width="17.90625" style="126" customWidth="1"/>
    <col min="38" max="38" width="37.90625" style="126" customWidth="1"/>
    <col min="39" max="39" width="9" style="126"/>
    <col min="40" max="40" width="10.36328125" style="126"/>
    <col min="41" max="16384" width="9" style="126"/>
  </cols>
  <sheetData>
    <row r="1" spans="1:39" s="118" customFormat="1" ht="26.25" customHeight="1" x14ac:dyDescent="0.35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1670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1688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hidden="1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hidden="1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hidden="1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hidden="1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hidden="1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hidden="1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hidden="1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hidden="1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hidden="1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hidden="1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hidden="1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hidden="1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hidden="1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1664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hidden="1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hidden="1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hidden="1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</v>
      </c>
      <c r="O20" s="135" t="s">
        <v>50</v>
      </c>
      <c r="P20" s="135" t="s">
        <v>1671</v>
      </c>
      <c r="Q20" s="137">
        <v>0</v>
      </c>
      <c r="R20" s="137">
        <v>0</v>
      </c>
      <c r="S20" s="137">
        <v>10000</v>
      </c>
      <c r="T20" s="137">
        <f t="shared" si="0"/>
        <v>0</v>
      </c>
      <c r="U20" s="137">
        <f t="shared" si="5"/>
        <v>10000</v>
      </c>
      <c r="V20" s="137">
        <v>10000</v>
      </c>
      <c r="W20" s="137">
        <f t="shared" si="6"/>
        <v>0</v>
      </c>
      <c r="X20" s="137">
        <f t="shared" si="1"/>
        <v>0</v>
      </c>
      <c r="Y20" s="137">
        <f t="shared" si="7"/>
        <v>0</v>
      </c>
      <c r="Z20" s="137">
        <v>4672.1000000000004</v>
      </c>
      <c r="AA20" s="137">
        <f t="shared" si="2"/>
        <v>5327.9</v>
      </c>
      <c r="AB20" s="146">
        <f t="shared" si="3"/>
        <v>4672.1000000000004</v>
      </c>
      <c r="AC20" s="147">
        <f t="shared" si="4"/>
        <v>0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hidden="1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hidden="1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hidden="1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hidden="1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hidden="1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hidden="1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hidden="1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hidden="1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hidden="1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hidden="1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hidden="1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hidden="1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hidden="1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hidden="1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1635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hidden="1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hidden="1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25484.21</v>
      </c>
      <c r="AA46" s="137">
        <f t="shared" si="2"/>
        <v>184515.79</v>
      </c>
      <c r="AB46" s="146">
        <f>IF(O46="返货",Z46/(1+N46),IF(O46="返现",Z46,IF(O46="折扣",Z46*N46,IF(O46="无",Z46))))</f>
        <v>25484.21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hidden="1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 t="s">
        <v>1685</v>
      </c>
      <c r="Q47" s="142">
        <f>2445799.7-40790.43</f>
        <v>2405009.27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488228.03999999911</v>
      </c>
      <c r="AB47" s="146">
        <f>(Z47-Q47-697722.37)/(1+N47)</f>
        <v>22609580.352941178</v>
      </c>
      <c r="AC47" s="147">
        <f t="shared" si="4"/>
        <v>3554923.2470588237</v>
      </c>
      <c r="AD47" s="137">
        <f>(Z47-Q47)*0.89807640489087</f>
        <v>21337841.249911413</v>
      </c>
      <c r="AE47" s="138">
        <v>0.11269173273981201</v>
      </c>
      <c r="AF47" s="137">
        <f t="shared" ref="AF47:AF110" si="10">AD47*AE47</f>
        <v>2404598.3033795529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hidden="1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106930</v>
      </c>
      <c r="AA48" s="137">
        <f t="shared" si="2"/>
        <v>-85544</v>
      </c>
      <c r="AB48" s="146">
        <v>106930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hidden="1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ref="AB49:AB65" si="11">IF(O49="返货",Z49/(1+N49),IF(O49="返现",Z49,IF(O49="折扣",Z49*N49,IF(O49="无",Z49))))</f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hidden="1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hidden="1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hidden="1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hidden="1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hidden="1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hidden="1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hidden="1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hidden="1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hidden="1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hidden="1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hidden="1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1668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hidden="1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hidden="1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hidden="1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hidden="1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hidden="1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hidden="1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hidden="1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 t="s">
        <v>1678</v>
      </c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>Z69*(1+15%)/(1+N69+15%)</f>
        <v>665289.25619834708</v>
      </c>
      <c r="AC69" s="147">
        <f t="shared" si="15"/>
        <v>34710.74380165292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hidden="1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ref="AB70:AB90" si="19">IF(O70="返货",Z70/(1+N70),IF(O70="返现",Z70,IF(O70="折扣",Z70*N70,IF(O70="无",Z70))))</f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hidden="1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 t="s">
        <v>1678</v>
      </c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42086.96</v>
      </c>
      <c r="AA72" s="137">
        <f t="shared" si="14"/>
        <v>523.04000000000087</v>
      </c>
      <c r="AB72" s="146">
        <f t="shared" ref="AB72:AB73" si="20">Z72*(1+15%)/(1+N72+15%)</f>
        <v>40000.003305785118</v>
      </c>
      <c r="AC72" s="147">
        <f t="shared" si="15"/>
        <v>2086.9566942148813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hidden="1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 t="s">
        <v>1678</v>
      </c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1546560.04</v>
      </c>
      <c r="AA73" s="137">
        <f t="shared" si="14"/>
        <v>299586.95999999996</v>
      </c>
      <c r="AB73" s="146">
        <f t="shared" si="20"/>
        <v>1469871.1123966943</v>
      </c>
      <c r="AC73" s="147">
        <f t="shared" si="15"/>
        <v>76688.927603305783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hidden="1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hidden="1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hidden="1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</v>
      </c>
      <c r="O78" s="135" t="s">
        <v>1680</v>
      </c>
      <c r="P78" s="135"/>
      <c r="Q78" s="137">
        <v>21190.28</v>
      </c>
      <c r="R78" s="137">
        <v>0</v>
      </c>
      <c r="S78" s="137">
        <v>120000</v>
      </c>
      <c r="T78" s="137">
        <f t="shared" si="12"/>
        <v>0</v>
      </c>
      <c r="U78" s="137">
        <f t="shared" si="16"/>
        <v>120000</v>
      </c>
      <c r="V78" s="137">
        <v>120000</v>
      </c>
      <c r="W78" s="137">
        <f t="shared" si="17"/>
        <v>0</v>
      </c>
      <c r="X78" s="137">
        <f t="shared" si="13"/>
        <v>0</v>
      </c>
      <c r="Y78" s="137">
        <f t="shared" si="18"/>
        <v>0</v>
      </c>
      <c r="Z78" s="137">
        <v>105763.27</v>
      </c>
      <c r="AA78" s="137">
        <f t="shared" si="14"/>
        <v>35427.009999999995</v>
      </c>
      <c r="AB78" s="146">
        <f>(Z78-Q78)/(1+8%)</f>
        <v>78308.324074074073</v>
      </c>
      <c r="AC78" s="147">
        <f t="shared" si="15"/>
        <v>27454.945925925931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hidden="1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hidden="1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hidden="1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340000</v>
      </c>
      <c r="W82" s="137">
        <f t="shared" si="17"/>
        <v>-340000</v>
      </c>
      <c r="X82" s="137">
        <f t="shared" si="13"/>
        <v>-323809.52380952379</v>
      </c>
      <c r="Y82" s="137">
        <f t="shared" si="18"/>
        <v>-16190.476190476213</v>
      </c>
      <c r="Z82" s="137">
        <v>350809.3</v>
      </c>
      <c r="AA82" s="137">
        <f t="shared" si="14"/>
        <v>-10809.299999999988</v>
      </c>
      <c r="AB82" s="146">
        <f>IF(O82="返货",Z82/(1+N82),IF(O82="返现",Z82,IF(O82="折扣",Z82*N82,IF(O82="无",Z82))))+25003.05</f>
        <v>359107.1452380952</v>
      </c>
      <c r="AC82" s="147">
        <f t="shared" si="15"/>
        <v>-8297.8452380952076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hidden="1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hidden="1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 t="s">
        <v>1678</v>
      </c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>Z85*(1+15%)/(1+N85+15%)</f>
        <v>2014940.1764462811</v>
      </c>
      <c r="AC85" s="147">
        <f t="shared" si="15"/>
        <v>105127.31355371908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hidden="1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hidden="1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hidden="1" customHeight="1" x14ac:dyDescent="0.3">
      <c r="A92" s="119">
        <v>2017</v>
      </c>
      <c r="B92" s="119" t="s">
        <v>37</v>
      </c>
      <c r="C92" s="119" t="s">
        <v>74</v>
      </c>
      <c r="D92" s="119" t="s">
        <v>136</v>
      </c>
      <c r="E92" s="119" t="s">
        <v>137</v>
      </c>
      <c r="F92" s="119" t="s">
        <v>262</v>
      </c>
      <c r="G92" s="119" t="s">
        <v>262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 t="s">
        <v>1695</v>
      </c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1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2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hidden="1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1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2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hidden="1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1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2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hidden="1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1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2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hidden="1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1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2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hidden="1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1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2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hidden="1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>IF(O98="返货",Z98/(1+N98),IF(O98="返现",Z98,IF(O98="折扣",Z98*N98,IF(O98="无",Z98))))-1717.9</f>
        <v>51524.6</v>
      </c>
      <c r="AC98" s="147">
        <f t="shared" si="15"/>
        <v>1717.9000000000015</v>
      </c>
      <c r="AD98" s="137">
        <v>37507.5</v>
      </c>
      <c r="AE98" s="138">
        <v>0</v>
      </c>
      <c r="AF98" s="137">
        <f t="shared" si="10"/>
        <v>0</v>
      </c>
      <c r="AG98" s="137">
        <f t="shared" si="22"/>
        <v>-1717.9000000000015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hidden="1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1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2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hidden="1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2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hidden="1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3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2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hidden="1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v>40000</v>
      </c>
      <c r="AC102" s="147">
        <f t="shared" si="15"/>
        <v>-102</v>
      </c>
      <c r="AD102" s="137">
        <v>29923.5</v>
      </c>
      <c r="AE102" s="138">
        <v>0</v>
      </c>
      <c r="AF102" s="137">
        <f t="shared" si="10"/>
        <v>0</v>
      </c>
      <c r="AG102" s="137">
        <f t="shared" si="22"/>
        <v>102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hidden="1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3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2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hidden="1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3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2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hidden="1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3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2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hidden="1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3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2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hidden="1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3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2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hidden="1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3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2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hidden="1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3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2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hidden="1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3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2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hidden="1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3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4">AD111*AE111</f>
        <v>0</v>
      </c>
      <c r="AG111" s="137">
        <f t="shared" si="22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hidden="1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3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4"/>
        <v>0</v>
      </c>
      <c r="AG112" s="137">
        <f t="shared" si="22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hidden="1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3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4"/>
        <v>0</v>
      </c>
      <c r="AG113" s="137">
        <f t="shared" si="22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hidden="1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3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4"/>
        <v>0</v>
      </c>
      <c r="AG114" s="137">
        <f t="shared" si="22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hidden="1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 t="s">
        <v>1676</v>
      </c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339714</v>
      </c>
      <c r="AA115" s="137">
        <f t="shared" si="14"/>
        <v>-52299</v>
      </c>
      <c r="AB115" s="146">
        <v>345406</v>
      </c>
      <c r="AC115" s="147">
        <f t="shared" si="15"/>
        <v>-5692</v>
      </c>
      <c r="AD115" s="137">
        <v>287415</v>
      </c>
      <c r="AE115" s="138">
        <v>0</v>
      </c>
      <c r="AF115" s="137">
        <f t="shared" si="24"/>
        <v>0</v>
      </c>
      <c r="AG115" s="137">
        <f t="shared" si="22"/>
        <v>5692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hidden="1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3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4"/>
        <v>0</v>
      </c>
      <c r="AG116" s="137">
        <f t="shared" si="22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hidden="1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3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4"/>
        <v>0</v>
      </c>
      <c r="AG117" s="137">
        <f t="shared" si="22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hidden="1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3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4"/>
        <v>0</v>
      </c>
      <c r="AG118" s="137">
        <f t="shared" si="22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hidden="1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3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4"/>
        <v>0</v>
      </c>
      <c r="AG119" s="137">
        <f t="shared" si="22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hidden="1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3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4"/>
        <v>0</v>
      </c>
      <c r="AG120" s="137">
        <f t="shared" si="22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hidden="1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3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4"/>
        <v>0</v>
      </c>
      <c r="AG121" s="137">
        <f t="shared" si="22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hidden="1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3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4"/>
        <v>0</v>
      </c>
      <c r="AG122" s="137">
        <f t="shared" si="22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hidden="1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1652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4"/>
        <v>0</v>
      </c>
      <c r="AG123" s="137">
        <f t="shared" si="22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hidden="1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3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4"/>
        <v>0</v>
      </c>
      <c r="AG124" s="137">
        <f t="shared" ref="AG124:AG155" si="25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hidden="1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3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4"/>
        <v>0</v>
      </c>
      <c r="AG125" s="137">
        <f t="shared" si="25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hidden="1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3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4"/>
        <v>0</v>
      </c>
      <c r="AG126" s="137">
        <f t="shared" si="25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hidden="1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3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4"/>
        <v>0</v>
      </c>
      <c r="AG127" s="137">
        <f t="shared" si="25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hidden="1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3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4"/>
        <v>0</v>
      </c>
      <c r="AG128" s="137">
        <f t="shared" si="25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hidden="1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3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4"/>
        <v>0</v>
      </c>
      <c r="AG129" s="137">
        <f t="shared" si="25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hidden="1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6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7">W130/(1+N130)</f>
        <v>25756.5</v>
      </c>
      <c r="Y130" s="137">
        <f t="shared" si="18"/>
        <v>0</v>
      </c>
      <c r="Z130" s="137">
        <v>92212</v>
      </c>
      <c r="AA130" s="137">
        <f t="shared" ref="AA130:AA193" si="28">Q130+V130-Z130</f>
        <v>-27968.5</v>
      </c>
      <c r="AB130" s="146">
        <f t="shared" si="23"/>
        <v>92212</v>
      </c>
      <c r="AC130" s="147">
        <f t="shared" ref="AC130:AC193" si="29">IF(O130="返现",Z130*N130,Z130-AB130)</f>
        <v>0</v>
      </c>
      <c r="AD130" s="137">
        <v>64243.5</v>
      </c>
      <c r="AE130" s="138">
        <v>0</v>
      </c>
      <c r="AF130" s="137">
        <f t="shared" si="24"/>
        <v>0</v>
      </c>
      <c r="AG130" s="137">
        <f t="shared" si="25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hidden="1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6"/>
        <v>0</v>
      </c>
      <c r="U131" s="137">
        <f t="shared" ref="U131:U194" si="30">R131+S131+T131</f>
        <v>107.5</v>
      </c>
      <c r="V131" s="137">
        <v>64.5</v>
      </c>
      <c r="W131" s="137">
        <f t="shared" ref="W131:W194" si="31">U131-V131</f>
        <v>43</v>
      </c>
      <c r="X131" s="137">
        <f t="shared" si="27"/>
        <v>43</v>
      </c>
      <c r="Y131" s="137">
        <f t="shared" ref="Y131:Y194" si="32">W131-X131</f>
        <v>0</v>
      </c>
      <c r="Z131" s="137">
        <v>107.5</v>
      </c>
      <c r="AA131" s="137">
        <f t="shared" si="28"/>
        <v>-43</v>
      </c>
      <c r="AB131" s="146">
        <f t="shared" si="23"/>
        <v>107.5</v>
      </c>
      <c r="AC131" s="147">
        <f t="shared" si="29"/>
        <v>0</v>
      </c>
      <c r="AD131" s="137">
        <v>64.5</v>
      </c>
      <c r="AE131" s="138">
        <v>0</v>
      </c>
      <c r="AF131" s="137">
        <f t="shared" si="24"/>
        <v>0</v>
      </c>
      <c r="AG131" s="137">
        <f t="shared" si="25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hidden="1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6"/>
        <v>0</v>
      </c>
      <c r="U132" s="137">
        <f t="shared" si="30"/>
        <v>5800</v>
      </c>
      <c r="V132" s="137">
        <v>4350</v>
      </c>
      <c r="W132" s="137">
        <f t="shared" si="31"/>
        <v>1450</v>
      </c>
      <c r="X132" s="137">
        <f t="shared" si="27"/>
        <v>1450</v>
      </c>
      <c r="Y132" s="137">
        <f t="shared" si="32"/>
        <v>0</v>
      </c>
      <c r="Z132" s="137">
        <v>5800</v>
      </c>
      <c r="AA132" s="137">
        <f t="shared" si="28"/>
        <v>-1450</v>
      </c>
      <c r="AB132" s="146">
        <f t="shared" si="23"/>
        <v>5800</v>
      </c>
      <c r="AC132" s="147">
        <f t="shared" si="29"/>
        <v>0</v>
      </c>
      <c r="AD132" s="137">
        <v>4350</v>
      </c>
      <c r="AE132" s="138">
        <v>0</v>
      </c>
      <c r="AF132" s="137">
        <f t="shared" si="24"/>
        <v>0</v>
      </c>
      <c r="AG132" s="137">
        <f t="shared" si="25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hidden="1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6"/>
        <v>0</v>
      </c>
      <c r="U133" s="137">
        <f t="shared" si="30"/>
        <v>9346</v>
      </c>
      <c r="V133" s="137">
        <v>5917.5</v>
      </c>
      <c r="W133" s="137">
        <f t="shared" si="31"/>
        <v>3428.5</v>
      </c>
      <c r="X133" s="137">
        <f t="shared" si="27"/>
        <v>3428.5</v>
      </c>
      <c r="Y133" s="137">
        <f t="shared" si="32"/>
        <v>0</v>
      </c>
      <c r="Z133" s="137">
        <v>9343.5</v>
      </c>
      <c r="AA133" s="137">
        <f t="shared" si="28"/>
        <v>-3426</v>
      </c>
      <c r="AB133" s="146">
        <f t="shared" si="23"/>
        <v>9343.5</v>
      </c>
      <c r="AC133" s="147">
        <f t="shared" si="29"/>
        <v>0</v>
      </c>
      <c r="AD133" s="137">
        <v>5917.5</v>
      </c>
      <c r="AE133" s="138">
        <v>0</v>
      </c>
      <c r="AF133" s="137">
        <f t="shared" si="24"/>
        <v>0</v>
      </c>
      <c r="AG133" s="137">
        <f t="shared" si="25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hidden="1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6"/>
        <v>0</v>
      </c>
      <c r="U134" s="137">
        <f t="shared" si="30"/>
        <v>30848</v>
      </c>
      <c r="V134" s="137">
        <v>21853.5</v>
      </c>
      <c r="W134" s="137">
        <f t="shared" si="31"/>
        <v>8994.5</v>
      </c>
      <c r="X134" s="137">
        <f t="shared" si="27"/>
        <v>8994.5</v>
      </c>
      <c r="Y134" s="137">
        <f t="shared" si="32"/>
        <v>0</v>
      </c>
      <c r="Z134" s="137">
        <v>30848</v>
      </c>
      <c r="AA134" s="137">
        <f t="shared" si="28"/>
        <v>-8994.5</v>
      </c>
      <c r="AB134" s="146">
        <f t="shared" si="23"/>
        <v>30848</v>
      </c>
      <c r="AC134" s="147">
        <f t="shared" si="29"/>
        <v>0</v>
      </c>
      <c r="AD134" s="137">
        <v>21853.5</v>
      </c>
      <c r="AE134" s="138">
        <v>0</v>
      </c>
      <c r="AF134" s="137">
        <f t="shared" si="24"/>
        <v>0</v>
      </c>
      <c r="AG134" s="137">
        <f t="shared" si="25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hidden="1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6"/>
        <v>0</v>
      </c>
      <c r="U135" s="137">
        <f t="shared" si="30"/>
        <v>20000</v>
      </c>
      <c r="V135" s="137">
        <v>7846.5</v>
      </c>
      <c r="W135" s="137">
        <f t="shared" si="31"/>
        <v>12153.5</v>
      </c>
      <c r="X135" s="137">
        <f t="shared" si="27"/>
        <v>12153.5</v>
      </c>
      <c r="Y135" s="137">
        <f t="shared" si="32"/>
        <v>0</v>
      </c>
      <c r="Z135" s="137">
        <v>10462</v>
      </c>
      <c r="AA135" s="137">
        <f t="shared" si="28"/>
        <v>-2615.5</v>
      </c>
      <c r="AB135" s="146">
        <f t="shared" si="23"/>
        <v>10462</v>
      </c>
      <c r="AC135" s="147">
        <f t="shared" si="29"/>
        <v>0</v>
      </c>
      <c r="AD135" s="137">
        <v>7846.5</v>
      </c>
      <c r="AE135" s="138">
        <v>0</v>
      </c>
      <c r="AF135" s="137">
        <f t="shared" si="24"/>
        <v>0</v>
      </c>
      <c r="AG135" s="137">
        <f t="shared" si="25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hidden="1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6"/>
        <v>0</v>
      </c>
      <c r="U136" s="137">
        <f t="shared" si="30"/>
        <v>82838</v>
      </c>
      <c r="V136" s="137">
        <f>30094*2+9053*2.5</f>
        <v>82820.5</v>
      </c>
      <c r="W136" s="137">
        <f t="shared" si="31"/>
        <v>17.5</v>
      </c>
      <c r="X136" s="137">
        <f t="shared" si="27"/>
        <v>17.5</v>
      </c>
      <c r="Y136" s="137">
        <f t="shared" si="32"/>
        <v>0</v>
      </c>
      <c r="Z136" s="137">
        <v>82838</v>
      </c>
      <c r="AA136" s="137">
        <f t="shared" si="28"/>
        <v>-17.5</v>
      </c>
      <c r="AB136" s="146">
        <f t="shared" si="23"/>
        <v>82838</v>
      </c>
      <c r="AC136" s="147">
        <f t="shared" si="29"/>
        <v>0</v>
      </c>
      <c r="AD136" s="137">
        <v>58720.5</v>
      </c>
      <c r="AE136" s="138">
        <v>0</v>
      </c>
      <c r="AF136" s="137">
        <f t="shared" si="24"/>
        <v>0</v>
      </c>
      <c r="AG136" s="137">
        <f t="shared" si="25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hidden="1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6"/>
        <v>0</v>
      </c>
      <c r="U137" s="137">
        <f t="shared" si="30"/>
        <v>38855</v>
      </c>
      <c r="V137" s="137">
        <v>23545.5</v>
      </c>
      <c r="W137" s="137">
        <f t="shared" si="31"/>
        <v>15309.5</v>
      </c>
      <c r="X137" s="137">
        <f t="shared" si="27"/>
        <v>15309.5</v>
      </c>
      <c r="Y137" s="137">
        <f t="shared" si="32"/>
        <v>0</v>
      </c>
      <c r="Z137" s="137">
        <v>35165</v>
      </c>
      <c r="AA137" s="137">
        <f t="shared" si="28"/>
        <v>-11619.5</v>
      </c>
      <c r="AB137" s="146">
        <f t="shared" si="23"/>
        <v>35165</v>
      </c>
      <c r="AC137" s="147">
        <f t="shared" si="29"/>
        <v>0</v>
      </c>
      <c r="AD137" s="137">
        <v>23545.5</v>
      </c>
      <c r="AE137" s="138">
        <v>0</v>
      </c>
      <c r="AF137" s="137">
        <f t="shared" si="24"/>
        <v>0</v>
      </c>
      <c r="AG137" s="137">
        <f t="shared" si="25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hidden="1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6"/>
        <v>0</v>
      </c>
      <c r="U138" s="137">
        <f t="shared" si="30"/>
        <v>498969</v>
      </c>
      <c r="V138" s="137">
        <v>321802.5</v>
      </c>
      <c r="W138" s="137">
        <f t="shared" si="31"/>
        <v>177166.5</v>
      </c>
      <c r="X138" s="137">
        <f t="shared" si="27"/>
        <v>177166.5</v>
      </c>
      <c r="Y138" s="137">
        <f t="shared" si="32"/>
        <v>0</v>
      </c>
      <c r="Z138" s="137">
        <v>497578.5</v>
      </c>
      <c r="AA138" s="137">
        <f t="shared" si="28"/>
        <v>-175776</v>
      </c>
      <c r="AB138" s="146">
        <f>IF(O138="返货",Z138/(1+N138),IF(O138="返现",Z138,IF(O138="折扣",Z138*N138,IF(O138="无",Z138))))+23115.4</f>
        <v>520693.9</v>
      </c>
      <c r="AC138" s="147">
        <f t="shared" si="29"/>
        <v>-23115.400000000023</v>
      </c>
      <c r="AD138" s="137">
        <v>321802.5</v>
      </c>
      <c r="AE138" s="138">
        <v>0</v>
      </c>
      <c r="AF138" s="137">
        <f t="shared" si="24"/>
        <v>0</v>
      </c>
      <c r="AG138" s="137">
        <f t="shared" si="25"/>
        <v>23115.400000000023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hidden="1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6"/>
        <v>0</v>
      </c>
      <c r="U139" s="137">
        <f t="shared" si="30"/>
        <v>106216</v>
      </c>
      <c r="V139" s="137">
        <v>79656</v>
      </c>
      <c r="W139" s="137">
        <f t="shared" si="31"/>
        <v>26560</v>
      </c>
      <c r="X139" s="137">
        <f t="shared" si="27"/>
        <v>26560</v>
      </c>
      <c r="Y139" s="137">
        <f t="shared" si="32"/>
        <v>0</v>
      </c>
      <c r="Z139" s="137">
        <v>106208</v>
      </c>
      <c r="AA139" s="137">
        <f t="shared" si="28"/>
        <v>-26552</v>
      </c>
      <c r="AB139" s="146">
        <f t="shared" si="23"/>
        <v>106208</v>
      </c>
      <c r="AC139" s="147">
        <f t="shared" si="29"/>
        <v>0</v>
      </c>
      <c r="AD139" s="137">
        <v>79656</v>
      </c>
      <c r="AE139" s="138">
        <v>0</v>
      </c>
      <c r="AF139" s="137">
        <f t="shared" si="24"/>
        <v>0</v>
      </c>
      <c r="AG139" s="137">
        <f t="shared" si="25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hidden="1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6"/>
        <v>0</v>
      </c>
      <c r="U140" s="137">
        <f t="shared" si="30"/>
        <v>11142.5</v>
      </c>
      <c r="V140" s="137">
        <v>7344</v>
      </c>
      <c r="W140" s="137">
        <f t="shared" si="31"/>
        <v>3798.5</v>
      </c>
      <c r="X140" s="137">
        <f t="shared" si="27"/>
        <v>3798.5</v>
      </c>
      <c r="Y140" s="137">
        <f t="shared" si="32"/>
        <v>0</v>
      </c>
      <c r="Z140" s="137">
        <v>11140.5</v>
      </c>
      <c r="AA140" s="137">
        <f t="shared" si="28"/>
        <v>-3796.5</v>
      </c>
      <c r="AB140" s="146">
        <f t="shared" si="23"/>
        <v>11140.5</v>
      </c>
      <c r="AC140" s="147">
        <f t="shared" si="29"/>
        <v>0</v>
      </c>
      <c r="AD140" s="137">
        <v>7344</v>
      </c>
      <c r="AE140" s="138">
        <v>0</v>
      </c>
      <c r="AF140" s="137">
        <f t="shared" si="24"/>
        <v>0</v>
      </c>
      <c r="AG140" s="137">
        <f t="shared" si="25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hidden="1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6"/>
        <v>0</v>
      </c>
      <c r="U141" s="137">
        <f t="shared" si="30"/>
        <v>9170</v>
      </c>
      <c r="V141" s="137">
        <v>6831</v>
      </c>
      <c r="W141" s="137">
        <f t="shared" si="31"/>
        <v>2339</v>
      </c>
      <c r="X141" s="137">
        <f t="shared" si="27"/>
        <v>2339</v>
      </c>
      <c r="Y141" s="137">
        <f t="shared" si="32"/>
        <v>0</v>
      </c>
      <c r="Z141" s="137">
        <v>9108</v>
      </c>
      <c r="AA141" s="137">
        <f t="shared" si="28"/>
        <v>-2277</v>
      </c>
      <c r="AB141" s="146">
        <v>9170</v>
      </c>
      <c r="AC141" s="147">
        <f t="shared" si="29"/>
        <v>-62</v>
      </c>
      <c r="AD141" s="137">
        <v>6831</v>
      </c>
      <c r="AE141" s="138">
        <v>0</v>
      </c>
      <c r="AF141" s="137">
        <f t="shared" si="24"/>
        <v>0</v>
      </c>
      <c r="AG141" s="137">
        <f t="shared" si="25"/>
        <v>62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hidden="1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6"/>
        <v>0</v>
      </c>
      <c r="U142" s="137">
        <f t="shared" si="30"/>
        <v>20248</v>
      </c>
      <c r="V142" s="137">
        <v>13570.5</v>
      </c>
      <c r="W142" s="137">
        <f t="shared" si="31"/>
        <v>6677.5</v>
      </c>
      <c r="X142" s="137">
        <f t="shared" si="27"/>
        <v>6677.5</v>
      </c>
      <c r="Y142" s="137">
        <f t="shared" si="32"/>
        <v>0</v>
      </c>
      <c r="Z142" s="137">
        <v>20248</v>
      </c>
      <c r="AA142" s="137">
        <f t="shared" si="28"/>
        <v>-6677.5</v>
      </c>
      <c r="AB142" s="146">
        <f>IF(O142="返货",Z142/(1+N142),IF(O142="返现",Z142,IF(O142="折扣",Z142*N142,IF(O142="无",Z142))))+743.1</f>
        <v>20991.1</v>
      </c>
      <c r="AC142" s="147">
        <f t="shared" si="29"/>
        <v>-743.09999999999854</v>
      </c>
      <c r="AD142" s="137">
        <v>13570.5</v>
      </c>
      <c r="AE142" s="138">
        <v>0</v>
      </c>
      <c r="AF142" s="137">
        <f t="shared" si="24"/>
        <v>0</v>
      </c>
      <c r="AG142" s="137">
        <f t="shared" si="25"/>
        <v>743.09999999999854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hidden="1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6"/>
        <v>0</v>
      </c>
      <c r="U143" s="137">
        <f t="shared" si="30"/>
        <v>955516</v>
      </c>
      <c r="V143" s="137">
        <v>524698.5</v>
      </c>
      <c r="W143" s="137">
        <f t="shared" si="31"/>
        <v>430817.5</v>
      </c>
      <c r="X143" s="137">
        <f t="shared" si="27"/>
        <v>430817.5</v>
      </c>
      <c r="Y143" s="137">
        <f t="shared" si="32"/>
        <v>0</v>
      </c>
      <c r="Z143" s="137">
        <v>734300</v>
      </c>
      <c r="AA143" s="137">
        <f t="shared" si="28"/>
        <v>-209601.5</v>
      </c>
      <c r="AB143" s="146">
        <f t="shared" si="23"/>
        <v>734300</v>
      </c>
      <c r="AC143" s="147">
        <f t="shared" si="29"/>
        <v>0</v>
      </c>
      <c r="AD143" s="137">
        <v>524698.5</v>
      </c>
      <c r="AE143" s="138">
        <v>0</v>
      </c>
      <c r="AF143" s="137">
        <f t="shared" si="24"/>
        <v>0</v>
      </c>
      <c r="AG143" s="137">
        <f t="shared" si="25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hidden="1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6"/>
        <v>0</v>
      </c>
      <c r="U144" s="137">
        <f t="shared" si="30"/>
        <v>91181</v>
      </c>
      <c r="V144" s="137">
        <v>65053.5</v>
      </c>
      <c r="W144" s="137">
        <f t="shared" si="31"/>
        <v>26127.5</v>
      </c>
      <c r="X144" s="137">
        <f t="shared" si="27"/>
        <v>26127.5</v>
      </c>
      <c r="Y144" s="137">
        <f t="shared" si="32"/>
        <v>0</v>
      </c>
      <c r="Z144" s="137">
        <v>91181</v>
      </c>
      <c r="AA144" s="137">
        <f t="shared" si="28"/>
        <v>-26127.5</v>
      </c>
      <c r="AB144" s="146">
        <f t="shared" si="23"/>
        <v>91181</v>
      </c>
      <c r="AC144" s="147">
        <f t="shared" si="29"/>
        <v>0</v>
      </c>
      <c r="AD144" s="137">
        <v>65053.5</v>
      </c>
      <c r="AE144" s="138">
        <v>0</v>
      </c>
      <c r="AF144" s="137">
        <f t="shared" si="24"/>
        <v>0</v>
      </c>
      <c r="AG144" s="137">
        <f t="shared" si="25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hidden="1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6"/>
        <v>0</v>
      </c>
      <c r="U145" s="137">
        <f t="shared" si="30"/>
        <v>240841</v>
      </c>
      <c r="V145" s="137">
        <v>102546</v>
      </c>
      <c r="W145" s="137">
        <f t="shared" si="31"/>
        <v>138295</v>
      </c>
      <c r="X145" s="137">
        <f t="shared" si="27"/>
        <v>138295</v>
      </c>
      <c r="Y145" s="137">
        <f t="shared" si="32"/>
        <v>0</v>
      </c>
      <c r="Z145" s="137">
        <v>145281</v>
      </c>
      <c r="AA145" s="137">
        <f t="shared" si="28"/>
        <v>-42735</v>
      </c>
      <c r="AB145" s="146">
        <f t="shared" si="23"/>
        <v>145281</v>
      </c>
      <c r="AC145" s="147">
        <f t="shared" si="29"/>
        <v>0</v>
      </c>
      <c r="AD145" s="137">
        <v>102546</v>
      </c>
      <c r="AE145" s="138">
        <v>0</v>
      </c>
      <c r="AF145" s="137">
        <f t="shared" si="24"/>
        <v>0</v>
      </c>
      <c r="AG145" s="137">
        <f t="shared" si="25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hidden="1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6"/>
        <v>0</v>
      </c>
      <c r="U146" s="137">
        <f t="shared" si="30"/>
        <v>27632.5</v>
      </c>
      <c r="V146" s="137">
        <v>19408.5</v>
      </c>
      <c r="W146" s="137">
        <f t="shared" si="31"/>
        <v>8224</v>
      </c>
      <c r="X146" s="137">
        <f t="shared" si="27"/>
        <v>8224</v>
      </c>
      <c r="Y146" s="137">
        <f t="shared" si="32"/>
        <v>0</v>
      </c>
      <c r="Z146" s="137">
        <v>20486.5</v>
      </c>
      <c r="AA146" s="137">
        <f t="shared" si="28"/>
        <v>-1078</v>
      </c>
      <c r="AB146" s="146">
        <f>IF(O146="返货",Z146/(1+N146),IF(O146="返现",Z146,IF(O146="折扣",Z146*N146,IF(O146="无",Z146))))-1534.5</f>
        <v>18952</v>
      </c>
      <c r="AC146" s="147">
        <f t="shared" si="29"/>
        <v>1534.5</v>
      </c>
      <c r="AD146" s="137">
        <v>19408.5</v>
      </c>
      <c r="AE146" s="138">
        <v>0</v>
      </c>
      <c r="AF146" s="137">
        <f t="shared" si="24"/>
        <v>0</v>
      </c>
      <c r="AG146" s="137">
        <f t="shared" si="25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hidden="1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6"/>
        <v>0</v>
      </c>
      <c r="U147" s="137">
        <f t="shared" si="30"/>
        <v>41978</v>
      </c>
      <c r="V147" s="137">
        <v>0</v>
      </c>
      <c r="W147" s="137">
        <f t="shared" si="31"/>
        <v>41978</v>
      </c>
      <c r="X147" s="137">
        <f t="shared" si="27"/>
        <v>41978</v>
      </c>
      <c r="Y147" s="137">
        <f t="shared" si="32"/>
        <v>0</v>
      </c>
      <c r="Z147" s="137">
        <v>0</v>
      </c>
      <c r="AA147" s="137">
        <f t="shared" si="28"/>
        <v>0</v>
      </c>
      <c r="AB147" s="146">
        <f t="shared" si="23"/>
        <v>0</v>
      </c>
      <c r="AC147" s="147">
        <f t="shared" si="29"/>
        <v>0</v>
      </c>
      <c r="AD147" s="137">
        <v>0</v>
      </c>
      <c r="AE147" s="138">
        <v>0</v>
      </c>
      <c r="AF147" s="137">
        <f t="shared" si="24"/>
        <v>0</v>
      </c>
      <c r="AG147" s="137">
        <f t="shared" si="25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hidden="1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6"/>
        <v>0</v>
      </c>
      <c r="U148" s="137">
        <f t="shared" si="30"/>
        <v>20510.5</v>
      </c>
      <c r="V148" s="137">
        <v>15453</v>
      </c>
      <c r="W148" s="137">
        <f t="shared" si="31"/>
        <v>5057.5</v>
      </c>
      <c r="X148" s="137">
        <f t="shared" si="27"/>
        <v>5057.5</v>
      </c>
      <c r="Y148" s="137">
        <f t="shared" si="32"/>
        <v>0</v>
      </c>
      <c r="Z148" s="137">
        <v>20697.5</v>
      </c>
      <c r="AA148" s="137">
        <f t="shared" si="28"/>
        <v>-5244.5</v>
      </c>
      <c r="AB148" s="146">
        <f t="shared" si="23"/>
        <v>20697.5</v>
      </c>
      <c r="AC148" s="147">
        <f t="shared" si="29"/>
        <v>0</v>
      </c>
      <c r="AD148" s="137">
        <v>15453</v>
      </c>
      <c r="AE148" s="138">
        <v>0</v>
      </c>
      <c r="AF148" s="137">
        <f t="shared" si="24"/>
        <v>0</v>
      </c>
      <c r="AG148" s="137">
        <f t="shared" si="25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hidden="1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6"/>
        <v>0</v>
      </c>
      <c r="U149" s="137">
        <f t="shared" si="30"/>
        <v>9461.5</v>
      </c>
      <c r="V149" s="137">
        <v>36256.5</v>
      </c>
      <c r="W149" s="137">
        <f t="shared" si="31"/>
        <v>-26795</v>
      </c>
      <c r="X149" s="137">
        <f t="shared" si="27"/>
        <v>-26795</v>
      </c>
      <c r="Y149" s="137">
        <f t="shared" si="32"/>
        <v>0</v>
      </c>
      <c r="Z149" s="137">
        <v>51008</v>
      </c>
      <c r="AA149" s="137">
        <f t="shared" si="28"/>
        <v>-14751.5</v>
      </c>
      <c r="AB149" s="146">
        <f t="shared" si="23"/>
        <v>51008</v>
      </c>
      <c r="AC149" s="147">
        <f t="shared" si="29"/>
        <v>0</v>
      </c>
      <c r="AD149" s="137">
        <v>36256.5</v>
      </c>
      <c r="AE149" s="138">
        <v>0</v>
      </c>
      <c r="AF149" s="137">
        <f t="shared" si="24"/>
        <v>0</v>
      </c>
      <c r="AG149" s="137">
        <f t="shared" si="25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hidden="1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6"/>
        <v>0</v>
      </c>
      <c r="U150" s="137">
        <f t="shared" si="30"/>
        <v>370506.5</v>
      </c>
      <c r="V150" s="137">
        <v>267919.5</v>
      </c>
      <c r="W150" s="137">
        <f t="shared" si="31"/>
        <v>102587</v>
      </c>
      <c r="X150" s="137">
        <f t="shared" si="27"/>
        <v>102587</v>
      </c>
      <c r="Y150" s="137">
        <f t="shared" si="32"/>
        <v>0</v>
      </c>
      <c r="Z150" s="137">
        <v>373529</v>
      </c>
      <c r="AA150" s="137">
        <f t="shared" si="28"/>
        <v>-105609.5</v>
      </c>
      <c r="AB150" s="146">
        <f t="shared" si="23"/>
        <v>373529</v>
      </c>
      <c r="AC150" s="147">
        <f t="shared" si="29"/>
        <v>0</v>
      </c>
      <c r="AD150" s="137">
        <v>267919.5</v>
      </c>
      <c r="AE150" s="138">
        <v>0</v>
      </c>
      <c r="AF150" s="137">
        <f t="shared" si="24"/>
        <v>0</v>
      </c>
      <c r="AG150" s="137">
        <f t="shared" si="25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hidden="1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6"/>
        <v>0</v>
      </c>
      <c r="U151" s="137">
        <f t="shared" si="30"/>
        <v>47395.5</v>
      </c>
      <c r="V151" s="137">
        <v>6244.5</v>
      </c>
      <c r="W151" s="137">
        <f t="shared" si="31"/>
        <v>41151</v>
      </c>
      <c r="X151" s="137">
        <f t="shared" si="27"/>
        <v>41151</v>
      </c>
      <c r="Y151" s="137">
        <f t="shared" si="32"/>
        <v>0</v>
      </c>
      <c r="Z151" s="137">
        <v>106859.69</v>
      </c>
      <c r="AA151" s="137">
        <f t="shared" si="28"/>
        <v>-100615.19</v>
      </c>
      <c r="AB151" s="146">
        <f t="shared" si="23"/>
        <v>106859.69</v>
      </c>
      <c r="AC151" s="147">
        <f t="shared" si="29"/>
        <v>0</v>
      </c>
      <c r="AD151" s="137">
        <v>6244.5</v>
      </c>
      <c r="AE151" s="138">
        <v>0</v>
      </c>
      <c r="AF151" s="137">
        <f t="shared" si="24"/>
        <v>0</v>
      </c>
      <c r="AG151" s="137">
        <f t="shared" si="25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hidden="1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6"/>
        <v>0</v>
      </c>
      <c r="U152" s="137">
        <f t="shared" si="30"/>
        <v>12114</v>
      </c>
      <c r="V152" s="137">
        <v>9085.5</v>
      </c>
      <c r="W152" s="137">
        <f t="shared" si="31"/>
        <v>3028.5</v>
      </c>
      <c r="X152" s="137">
        <f t="shared" si="27"/>
        <v>3028.5</v>
      </c>
      <c r="Y152" s="137">
        <f t="shared" si="32"/>
        <v>0</v>
      </c>
      <c r="Z152" s="137">
        <v>12114</v>
      </c>
      <c r="AA152" s="137">
        <f t="shared" si="28"/>
        <v>-3028.5</v>
      </c>
      <c r="AB152" s="146">
        <f t="shared" si="23"/>
        <v>12114</v>
      </c>
      <c r="AC152" s="147">
        <f t="shared" si="29"/>
        <v>0</v>
      </c>
      <c r="AD152" s="137">
        <v>9085.5</v>
      </c>
      <c r="AE152" s="138">
        <v>0</v>
      </c>
      <c r="AF152" s="137">
        <f t="shared" si="24"/>
        <v>0</v>
      </c>
      <c r="AG152" s="137">
        <f t="shared" si="25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hidden="1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6"/>
        <v>0</v>
      </c>
      <c r="U153" s="137">
        <f t="shared" si="30"/>
        <v>3588</v>
      </c>
      <c r="V153" s="137">
        <v>2691</v>
      </c>
      <c r="W153" s="137">
        <f t="shared" si="31"/>
        <v>897</v>
      </c>
      <c r="X153" s="137">
        <f t="shared" si="27"/>
        <v>897</v>
      </c>
      <c r="Y153" s="137">
        <f t="shared" si="32"/>
        <v>0</v>
      </c>
      <c r="Z153" s="137">
        <v>3588</v>
      </c>
      <c r="AA153" s="137">
        <f t="shared" si="28"/>
        <v>-897</v>
      </c>
      <c r="AB153" s="146">
        <f t="shared" si="23"/>
        <v>3588</v>
      </c>
      <c r="AC153" s="147">
        <f t="shared" si="29"/>
        <v>0</v>
      </c>
      <c r="AD153" s="137">
        <v>2691</v>
      </c>
      <c r="AE153" s="138">
        <v>0</v>
      </c>
      <c r="AF153" s="137">
        <f t="shared" si="24"/>
        <v>0</v>
      </c>
      <c r="AG153" s="137">
        <f t="shared" si="25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hidden="1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6"/>
        <v>0</v>
      </c>
      <c r="U154" s="137">
        <f t="shared" si="30"/>
        <v>13824.5</v>
      </c>
      <c r="V154" s="137">
        <v>8958</v>
      </c>
      <c r="W154" s="137">
        <f t="shared" si="31"/>
        <v>4866.5</v>
      </c>
      <c r="X154" s="137">
        <f t="shared" si="27"/>
        <v>4866.5</v>
      </c>
      <c r="Y154" s="137">
        <f t="shared" si="32"/>
        <v>0</v>
      </c>
      <c r="Z154" s="137">
        <v>13824.5</v>
      </c>
      <c r="AA154" s="137">
        <f t="shared" si="28"/>
        <v>-4866.5</v>
      </c>
      <c r="AB154" s="146">
        <f t="shared" si="23"/>
        <v>13824.5</v>
      </c>
      <c r="AC154" s="147">
        <f t="shared" si="29"/>
        <v>0</v>
      </c>
      <c r="AD154" s="137">
        <v>8958</v>
      </c>
      <c r="AE154" s="138">
        <v>0</v>
      </c>
      <c r="AF154" s="137">
        <f t="shared" si="24"/>
        <v>0</v>
      </c>
      <c r="AG154" s="137">
        <f t="shared" si="25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hidden="1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6"/>
        <v>0</v>
      </c>
      <c r="U155" s="137">
        <f t="shared" si="30"/>
        <v>54264</v>
      </c>
      <c r="V155" s="137">
        <v>0</v>
      </c>
      <c r="W155" s="137">
        <f t="shared" si="31"/>
        <v>54264</v>
      </c>
      <c r="X155" s="137">
        <f t="shared" si="27"/>
        <v>54264</v>
      </c>
      <c r="Y155" s="137">
        <f t="shared" si="32"/>
        <v>0</v>
      </c>
      <c r="Z155" s="137">
        <v>0</v>
      </c>
      <c r="AA155" s="137">
        <f t="shared" si="28"/>
        <v>0</v>
      </c>
      <c r="AB155" s="146">
        <f t="shared" si="23"/>
        <v>0</v>
      </c>
      <c r="AC155" s="147">
        <f t="shared" si="29"/>
        <v>0</v>
      </c>
      <c r="AD155" s="137">
        <v>0</v>
      </c>
      <c r="AE155" s="138">
        <v>0</v>
      </c>
      <c r="AF155" s="137">
        <f t="shared" si="24"/>
        <v>0</v>
      </c>
      <c r="AG155" s="137">
        <f t="shared" si="25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hidden="1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6"/>
        <v>0</v>
      </c>
      <c r="U156" s="137">
        <f t="shared" si="30"/>
        <v>100000</v>
      </c>
      <c r="V156" s="137">
        <v>30220.5</v>
      </c>
      <c r="W156" s="137">
        <f t="shared" si="31"/>
        <v>69779.5</v>
      </c>
      <c r="X156" s="137">
        <f t="shared" si="27"/>
        <v>69779.5</v>
      </c>
      <c r="Y156" s="137">
        <f t="shared" si="32"/>
        <v>0</v>
      </c>
      <c r="Z156" s="137">
        <v>50367.5</v>
      </c>
      <c r="AA156" s="137">
        <f t="shared" si="28"/>
        <v>-20147</v>
      </c>
      <c r="AB156" s="146">
        <v>50000</v>
      </c>
      <c r="AC156" s="147">
        <f t="shared" si="29"/>
        <v>367.5</v>
      </c>
      <c r="AD156" s="137">
        <v>30220.5</v>
      </c>
      <c r="AE156" s="138">
        <v>0</v>
      </c>
      <c r="AF156" s="137">
        <f t="shared" si="24"/>
        <v>0</v>
      </c>
      <c r="AG156" s="137">
        <f t="shared" ref="AG156:AG187" si="33">AB156-Z156+AF156</f>
        <v>-367.5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hidden="1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6"/>
        <v>0</v>
      </c>
      <c r="U157" s="137">
        <f t="shared" si="30"/>
        <v>20000</v>
      </c>
      <c r="V157" s="137">
        <v>14296.5</v>
      </c>
      <c r="W157" s="137">
        <f t="shared" si="31"/>
        <v>5703.5</v>
      </c>
      <c r="X157" s="137">
        <f t="shared" si="27"/>
        <v>5703.5</v>
      </c>
      <c r="Y157" s="137">
        <f t="shared" si="32"/>
        <v>0</v>
      </c>
      <c r="Z157" s="137">
        <v>21316.5</v>
      </c>
      <c r="AA157" s="137">
        <f t="shared" si="28"/>
        <v>-7020</v>
      </c>
      <c r="AB157" s="146">
        <f t="shared" si="23"/>
        <v>21316.5</v>
      </c>
      <c r="AC157" s="147">
        <f t="shared" si="29"/>
        <v>0</v>
      </c>
      <c r="AD157" s="137">
        <v>14296.5</v>
      </c>
      <c r="AE157" s="138">
        <v>0</v>
      </c>
      <c r="AF157" s="137">
        <f t="shared" si="24"/>
        <v>0</v>
      </c>
      <c r="AG157" s="137">
        <f t="shared" si="33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hidden="1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6"/>
        <v>0</v>
      </c>
      <c r="U158" s="137">
        <f t="shared" si="30"/>
        <v>20000</v>
      </c>
      <c r="V158" s="137">
        <v>5022</v>
      </c>
      <c r="W158" s="137">
        <f t="shared" si="31"/>
        <v>14978</v>
      </c>
      <c r="X158" s="137">
        <f t="shared" si="27"/>
        <v>14978</v>
      </c>
      <c r="Y158" s="137">
        <f t="shared" si="32"/>
        <v>0</v>
      </c>
      <c r="Z158" s="137">
        <v>6775</v>
      </c>
      <c r="AA158" s="137">
        <f t="shared" si="28"/>
        <v>-1753</v>
      </c>
      <c r="AB158" s="146">
        <f t="shared" si="23"/>
        <v>6775</v>
      </c>
      <c r="AC158" s="147">
        <f t="shared" si="29"/>
        <v>0</v>
      </c>
      <c r="AD158" s="137">
        <v>5022</v>
      </c>
      <c r="AE158" s="138">
        <v>0</v>
      </c>
      <c r="AF158" s="137">
        <f t="shared" si="24"/>
        <v>0</v>
      </c>
      <c r="AG158" s="137">
        <f t="shared" si="33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hidden="1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6"/>
        <v>0</v>
      </c>
      <c r="U159" s="137">
        <f t="shared" si="30"/>
        <v>3134</v>
      </c>
      <c r="V159" s="137">
        <v>2125.5</v>
      </c>
      <c r="W159" s="137">
        <f t="shared" si="31"/>
        <v>1008.5</v>
      </c>
      <c r="X159" s="137">
        <f t="shared" si="27"/>
        <v>1008.5</v>
      </c>
      <c r="Y159" s="137">
        <f t="shared" si="32"/>
        <v>0</v>
      </c>
      <c r="Z159" s="137">
        <v>2834</v>
      </c>
      <c r="AA159" s="137">
        <f t="shared" si="28"/>
        <v>-708.5</v>
      </c>
      <c r="AB159" s="146">
        <f t="shared" si="23"/>
        <v>2834</v>
      </c>
      <c r="AC159" s="147">
        <f t="shared" si="29"/>
        <v>0</v>
      </c>
      <c r="AD159" s="137">
        <v>2125.5</v>
      </c>
      <c r="AE159" s="138">
        <v>0</v>
      </c>
      <c r="AF159" s="137">
        <f t="shared" si="24"/>
        <v>0</v>
      </c>
      <c r="AG159" s="137">
        <f t="shared" si="33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hidden="1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6"/>
        <v>0</v>
      </c>
      <c r="U160" s="137">
        <f t="shared" si="30"/>
        <v>104159.5</v>
      </c>
      <c r="V160" s="137">
        <v>74319</v>
      </c>
      <c r="W160" s="137">
        <f t="shared" si="31"/>
        <v>29840.5</v>
      </c>
      <c r="X160" s="137">
        <f t="shared" si="27"/>
        <v>29840.5</v>
      </c>
      <c r="Y160" s="137">
        <f t="shared" si="32"/>
        <v>0</v>
      </c>
      <c r="Z160" s="137">
        <v>93344</v>
      </c>
      <c r="AA160" s="137">
        <f t="shared" si="28"/>
        <v>-19025</v>
      </c>
      <c r="AB160" s="146">
        <v>104159.5</v>
      </c>
      <c r="AC160" s="147">
        <f t="shared" si="29"/>
        <v>-10815.5</v>
      </c>
      <c r="AD160" s="137">
        <v>74319</v>
      </c>
      <c r="AE160" s="138">
        <v>0</v>
      </c>
      <c r="AF160" s="137">
        <f t="shared" si="24"/>
        <v>0</v>
      </c>
      <c r="AG160" s="137">
        <f t="shared" si="33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hidden="1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6"/>
        <v>0</v>
      </c>
      <c r="U161" s="137">
        <f t="shared" si="30"/>
        <v>45801</v>
      </c>
      <c r="V161" s="137">
        <v>32355</v>
      </c>
      <c r="W161" s="137">
        <f t="shared" si="31"/>
        <v>13446</v>
      </c>
      <c r="X161" s="137">
        <f t="shared" si="27"/>
        <v>13446</v>
      </c>
      <c r="Y161" s="137">
        <f t="shared" si="32"/>
        <v>0</v>
      </c>
      <c r="Z161" s="137">
        <v>45801</v>
      </c>
      <c r="AA161" s="137">
        <f t="shared" si="28"/>
        <v>-13446</v>
      </c>
      <c r="AB161" s="146">
        <f t="shared" si="23"/>
        <v>45801</v>
      </c>
      <c r="AC161" s="147">
        <f t="shared" si="29"/>
        <v>0</v>
      </c>
      <c r="AD161" s="137">
        <v>32355</v>
      </c>
      <c r="AE161" s="138">
        <v>0</v>
      </c>
      <c r="AF161" s="137">
        <f t="shared" si="24"/>
        <v>0</v>
      </c>
      <c r="AG161" s="137">
        <f t="shared" si="33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hidden="1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6"/>
        <v>0</v>
      </c>
      <c r="U162" s="137">
        <f t="shared" si="30"/>
        <v>298</v>
      </c>
      <c r="V162" s="137">
        <v>210</v>
      </c>
      <c r="W162" s="137">
        <f t="shared" si="31"/>
        <v>88</v>
      </c>
      <c r="X162" s="137">
        <f t="shared" si="27"/>
        <v>88</v>
      </c>
      <c r="Y162" s="137">
        <f t="shared" si="32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4"/>
        <v>0</v>
      </c>
      <c r="AG162" s="137">
        <f t="shared" si="33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hidden="1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6"/>
        <v>0</v>
      </c>
      <c r="U163" s="137">
        <f t="shared" si="30"/>
        <v>37283.5</v>
      </c>
      <c r="V163" s="137">
        <v>26680.5</v>
      </c>
      <c r="W163" s="137">
        <f t="shared" si="31"/>
        <v>10603</v>
      </c>
      <c r="X163" s="137">
        <f t="shared" si="27"/>
        <v>10603</v>
      </c>
      <c r="Y163" s="137">
        <f t="shared" si="32"/>
        <v>0</v>
      </c>
      <c r="Z163" s="137">
        <v>37283.5</v>
      </c>
      <c r="AA163" s="137">
        <f t="shared" si="28"/>
        <v>-10603</v>
      </c>
      <c r="AB163" s="146">
        <f t="shared" si="23"/>
        <v>37283.5</v>
      </c>
      <c r="AC163" s="147">
        <f t="shared" si="29"/>
        <v>0</v>
      </c>
      <c r="AD163" s="137">
        <v>26680.5</v>
      </c>
      <c r="AE163" s="138">
        <v>0</v>
      </c>
      <c r="AF163" s="137">
        <f t="shared" si="24"/>
        <v>0</v>
      </c>
      <c r="AG163" s="137">
        <f t="shared" si="33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hidden="1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6"/>
        <v>0</v>
      </c>
      <c r="U164" s="137">
        <f t="shared" si="30"/>
        <v>17080</v>
      </c>
      <c r="V164" s="137">
        <v>11580</v>
      </c>
      <c r="W164" s="137">
        <f t="shared" si="31"/>
        <v>5500</v>
      </c>
      <c r="X164" s="137">
        <f t="shared" si="27"/>
        <v>5500</v>
      </c>
      <c r="Y164" s="137">
        <f t="shared" si="32"/>
        <v>0</v>
      </c>
      <c r="Z164" s="137">
        <v>17080</v>
      </c>
      <c r="AA164" s="137">
        <f t="shared" si="28"/>
        <v>-5500</v>
      </c>
      <c r="AB164" s="146">
        <f t="shared" si="23"/>
        <v>17080</v>
      </c>
      <c r="AC164" s="147">
        <f t="shared" si="29"/>
        <v>0</v>
      </c>
      <c r="AD164" s="137">
        <v>11580</v>
      </c>
      <c r="AE164" s="138">
        <v>0</v>
      </c>
      <c r="AF164" s="137">
        <f t="shared" si="24"/>
        <v>0</v>
      </c>
      <c r="AG164" s="137">
        <f t="shared" si="33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hidden="1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6"/>
        <v>0</v>
      </c>
      <c r="U165" s="137">
        <f t="shared" si="30"/>
        <v>10935</v>
      </c>
      <c r="V165" s="137">
        <v>0</v>
      </c>
      <c r="W165" s="137">
        <f t="shared" si="31"/>
        <v>10935</v>
      </c>
      <c r="X165" s="137">
        <f t="shared" si="27"/>
        <v>10935</v>
      </c>
      <c r="Y165" s="137">
        <f t="shared" si="32"/>
        <v>0</v>
      </c>
      <c r="Z165" s="137">
        <v>0</v>
      </c>
      <c r="AA165" s="137">
        <f t="shared" si="28"/>
        <v>0</v>
      </c>
      <c r="AB165" s="146">
        <f t="shared" ref="AB165:AB228" si="34">IF(O165="返货",Z165/(1+N165),IF(O165="返现",Z165,IF(O165="折扣",Z165*N165,IF(O165="无",Z165))))</f>
        <v>0</v>
      </c>
      <c r="AC165" s="147">
        <f t="shared" si="29"/>
        <v>0</v>
      </c>
      <c r="AD165" s="137">
        <v>0</v>
      </c>
      <c r="AE165" s="138">
        <v>0</v>
      </c>
      <c r="AF165" s="137">
        <f t="shared" si="24"/>
        <v>0</v>
      </c>
      <c r="AG165" s="137">
        <f t="shared" si="33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hidden="1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6"/>
        <v>0</v>
      </c>
      <c r="U166" s="137">
        <f t="shared" si="30"/>
        <v>31722</v>
      </c>
      <c r="V166" s="137">
        <v>22090.5</v>
      </c>
      <c r="W166" s="137">
        <f t="shared" si="31"/>
        <v>9631.5</v>
      </c>
      <c r="X166" s="137">
        <f t="shared" si="27"/>
        <v>9631.5</v>
      </c>
      <c r="Y166" s="137">
        <f t="shared" si="32"/>
        <v>0</v>
      </c>
      <c r="Z166" s="137">
        <v>29454</v>
      </c>
      <c r="AA166" s="137">
        <f t="shared" si="28"/>
        <v>-7363.5</v>
      </c>
      <c r="AB166" s="146">
        <f t="shared" si="34"/>
        <v>29454</v>
      </c>
      <c r="AC166" s="147">
        <f t="shared" si="29"/>
        <v>0</v>
      </c>
      <c r="AD166" s="137">
        <v>22090.5</v>
      </c>
      <c r="AE166" s="138">
        <v>0</v>
      </c>
      <c r="AF166" s="137">
        <f t="shared" si="24"/>
        <v>0</v>
      </c>
      <c r="AG166" s="137">
        <f t="shared" si="33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hidden="1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6"/>
        <v>0</v>
      </c>
      <c r="U167" s="137">
        <f t="shared" si="30"/>
        <v>332306.5</v>
      </c>
      <c r="V167" s="137">
        <v>0</v>
      </c>
      <c r="W167" s="137">
        <f t="shared" si="31"/>
        <v>332306.5</v>
      </c>
      <c r="X167" s="137">
        <f t="shared" si="27"/>
        <v>332306.5</v>
      </c>
      <c r="Y167" s="137">
        <f t="shared" si="32"/>
        <v>0</v>
      </c>
      <c r="Z167" s="137">
        <v>0</v>
      </c>
      <c r="AA167" s="137">
        <f t="shared" si="28"/>
        <v>0</v>
      </c>
      <c r="AB167" s="146">
        <f t="shared" si="34"/>
        <v>0</v>
      </c>
      <c r="AC167" s="147">
        <f t="shared" si="29"/>
        <v>0</v>
      </c>
      <c r="AD167" s="137">
        <v>0</v>
      </c>
      <c r="AE167" s="138">
        <v>0</v>
      </c>
      <c r="AF167" s="137">
        <f t="shared" si="24"/>
        <v>0</v>
      </c>
      <c r="AG167" s="137">
        <f t="shared" si="33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hidden="1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6"/>
        <v>0</v>
      </c>
      <c r="U168" s="137">
        <f t="shared" si="30"/>
        <v>57990</v>
      </c>
      <c r="V168" s="137">
        <v>22794</v>
      </c>
      <c r="W168" s="137">
        <f t="shared" si="31"/>
        <v>35196</v>
      </c>
      <c r="X168" s="137">
        <f t="shared" si="27"/>
        <v>35196</v>
      </c>
      <c r="Y168" s="137">
        <f t="shared" si="32"/>
        <v>0</v>
      </c>
      <c r="Z168" s="137">
        <v>37990</v>
      </c>
      <c r="AA168" s="137">
        <f t="shared" si="28"/>
        <v>-15196</v>
      </c>
      <c r="AB168" s="146">
        <f t="shared" si="34"/>
        <v>37990</v>
      </c>
      <c r="AC168" s="147">
        <f t="shared" si="29"/>
        <v>0</v>
      </c>
      <c r="AD168" s="137">
        <v>22794</v>
      </c>
      <c r="AE168" s="138">
        <v>0</v>
      </c>
      <c r="AF168" s="137">
        <f t="shared" si="24"/>
        <v>0</v>
      </c>
      <c r="AG168" s="137">
        <f t="shared" si="33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hidden="1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6"/>
        <v>0</v>
      </c>
      <c r="U169" s="137">
        <f t="shared" si="30"/>
        <v>186705.5</v>
      </c>
      <c r="V169" s="137">
        <v>133090.5</v>
      </c>
      <c r="W169" s="137">
        <f t="shared" si="31"/>
        <v>53615</v>
      </c>
      <c r="X169" s="137">
        <f t="shared" si="27"/>
        <v>53615</v>
      </c>
      <c r="Y169" s="137">
        <f t="shared" si="32"/>
        <v>0</v>
      </c>
      <c r="Z169" s="137">
        <v>186333</v>
      </c>
      <c r="AA169" s="137">
        <f t="shared" si="28"/>
        <v>-53242.5</v>
      </c>
      <c r="AB169" s="146">
        <f t="shared" si="34"/>
        <v>186333</v>
      </c>
      <c r="AC169" s="147">
        <f t="shared" si="29"/>
        <v>0</v>
      </c>
      <c r="AD169" s="137">
        <v>133090.5</v>
      </c>
      <c r="AE169" s="138">
        <v>0</v>
      </c>
      <c r="AF169" s="137">
        <f t="shared" si="24"/>
        <v>0</v>
      </c>
      <c r="AG169" s="137">
        <f t="shared" si="33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hidden="1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6"/>
        <v>0</v>
      </c>
      <c r="U170" s="137">
        <f t="shared" si="30"/>
        <v>43665</v>
      </c>
      <c r="V170" s="137">
        <v>26199</v>
      </c>
      <c r="W170" s="137">
        <f t="shared" si="31"/>
        <v>17466</v>
      </c>
      <c r="X170" s="137">
        <f t="shared" si="27"/>
        <v>17466</v>
      </c>
      <c r="Y170" s="137">
        <f t="shared" si="32"/>
        <v>0</v>
      </c>
      <c r="Z170" s="137">
        <v>43665</v>
      </c>
      <c r="AA170" s="137">
        <f t="shared" si="28"/>
        <v>-17466</v>
      </c>
      <c r="AB170" s="146">
        <f t="shared" si="34"/>
        <v>43665</v>
      </c>
      <c r="AC170" s="147">
        <f t="shared" si="29"/>
        <v>0</v>
      </c>
      <c r="AD170" s="137">
        <v>26199</v>
      </c>
      <c r="AE170" s="138">
        <v>0</v>
      </c>
      <c r="AF170" s="137">
        <f t="shared" si="24"/>
        <v>0</v>
      </c>
      <c r="AG170" s="137">
        <f t="shared" si="33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hidden="1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6"/>
        <v>0</v>
      </c>
      <c r="U171" s="137">
        <f t="shared" si="30"/>
        <v>60598</v>
      </c>
      <c r="V171" s="137">
        <v>44082</v>
      </c>
      <c r="W171" s="137">
        <f t="shared" si="31"/>
        <v>16516</v>
      </c>
      <c r="X171" s="137">
        <f t="shared" si="27"/>
        <v>16516</v>
      </c>
      <c r="Y171" s="137">
        <f t="shared" si="32"/>
        <v>0</v>
      </c>
      <c r="Z171" s="137">
        <v>58776</v>
      </c>
      <c r="AA171" s="137">
        <f t="shared" si="28"/>
        <v>-14694</v>
      </c>
      <c r="AB171" s="146">
        <f t="shared" si="34"/>
        <v>58776</v>
      </c>
      <c r="AC171" s="147">
        <f t="shared" si="29"/>
        <v>0</v>
      </c>
      <c r="AD171" s="137">
        <v>44082</v>
      </c>
      <c r="AE171" s="138">
        <v>0</v>
      </c>
      <c r="AF171" s="137">
        <f t="shared" si="24"/>
        <v>0</v>
      </c>
      <c r="AG171" s="137">
        <f t="shared" si="33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hidden="1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1697</v>
      </c>
      <c r="M172" s="119" t="s">
        <v>45</v>
      </c>
      <c r="N172" s="136">
        <v>0</v>
      </c>
      <c r="O172" s="135" t="s">
        <v>46</v>
      </c>
      <c r="P172" s="135" t="s">
        <v>1696</v>
      </c>
      <c r="Q172" s="137">
        <v>0</v>
      </c>
      <c r="R172" s="137">
        <v>0</v>
      </c>
      <c r="S172" s="137">
        <v>520000</v>
      </c>
      <c r="T172" s="137">
        <f t="shared" si="26"/>
        <v>0</v>
      </c>
      <c r="U172" s="137">
        <f t="shared" si="30"/>
        <v>520000</v>
      </c>
      <c r="V172" s="137">
        <v>40000</v>
      </c>
      <c r="W172" s="137">
        <f t="shared" si="31"/>
        <v>480000</v>
      </c>
      <c r="X172" s="137">
        <f t="shared" si="27"/>
        <v>480000</v>
      </c>
      <c r="Y172" s="137">
        <f t="shared" si="32"/>
        <v>0</v>
      </c>
      <c r="Z172" s="137">
        <v>30275.01</v>
      </c>
      <c r="AA172" s="137">
        <f t="shared" si="28"/>
        <v>9724.9900000000016</v>
      </c>
      <c r="AB172" s="146">
        <f t="shared" si="34"/>
        <v>30275.01</v>
      </c>
      <c r="AC172" s="147">
        <f t="shared" si="29"/>
        <v>0</v>
      </c>
      <c r="AD172" s="137">
        <v>25378.558494654299</v>
      </c>
      <c r="AE172" s="138">
        <v>0.17647058823529399</v>
      </c>
      <c r="AF172" s="137">
        <f t="shared" si="24"/>
        <v>4478.5691461154611</v>
      </c>
      <c r="AG172" s="137">
        <f t="shared" si="33"/>
        <v>4478.5691461154611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399</v>
      </c>
      <c r="H173" s="119" t="s">
        <v>399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6"/>
        <v>0</v>
      </c>
      <c r="U173" s="137">
        <f t="shared" si="30"/>
        <v>100000</v>
      </c>
      <c r="V173" s="137">
        <v>60000</v>
      </c>
      <c r="W173" s="137">
        <f t="shared" si="31"/>
        <v>40000</v>
      </c>
      <c r="X173" s="137">
        <f t="shared" si="27"/>
        <v>40000</v>
      </c>
      <c r="Y173" s="137">
        <f t="shared" si="32"/>
        <v>0</v>
      </c>
      <c r="Z173" s="137">
        <v>28587.200000000001</v>
      </c>
      <c r="AA173" s="137">
        <f t="shared" si="28"/>
        <v>31412.799999999999</v>
      </c>
      <c r="AB173" s="146">
        <f t="shared" si="34"/>
        <v>28587.200000000001</v>
      </c>
      <c r="AC173" s="147">
        <f t="shared" si="29"/>
        <v>0</v>
      </c>
      <c r="AD173" s="137">
        <v>23963.722139097001</v>
      </c>
      <c r="AE173" s="138">
        <v>0.17647058823529399</v>
      </c>
      <c r="AF173" s="137">
        <f t="shared" si="24"/>
        <v>4228.8921421935856</v>
      </c>
      <c r="AG173" s="137">
        <f t="shared" si="33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hidden="1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400</v>
      </c>
      <c r="H174" s="119" t="s">
        <v>400</v>
      </c>
      <c r="I174" s="131" t="s">
        <v>241</v>
      </c>
      <c r="J174" s="119" t="s">
        <v>242</v>
      </c>
      <c r="K174" s="119" t="s">
        <v>243</v>
      </c>
      <c r="L174" s="119" t="s">
        <v>401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6"/>
        <v>5488</v>
      </c>
      <c r="U174" s="137">
        <f t="shared" si="30"/>
        <v>279888</v>
      </c>
      <c r="V174" s="137">
        <v>44597</v>
      </c>
      <c r="W174" s="137">
        <f t="shared" si="31"/>
        <v>235291</v>
      </c>
      <c r="X174" s="137">
        <f t="shared" si="27"/>
        <v>230677.45098039214</v>
      </c>
      <c r="Y174" s="137">
        <f t="shared" si="32"/>
        <v>4613.5490196078608</v>
      </c>
      <c r="Z174" s="137">
        <v>23559</v>
      </c>
      <c r="AA174" s="137">
        <f t="shared" si="28"/>
        <v>21038</v>
      </c>
      <c r="AB174" s="146">
        <f t="shared" si="34"/>
        <v>23097.058823529413</v>
      </c>
      <c r="AC174" s="147">
        <f t="shared" si="29"/>
        <v>461.94117647058738</v>
      </c>
      <c r="AD174" s="137">
        <v>19748.745238252999</v>
      </c>
      <c r="AE174" s="138">
        <v>0.17647058823529399</v>
      </c>
      <c r="AF174" s="137">
        <f t="shared" si="24"/>
        <v>3485.0726891034678</v>
      </c>
      <c r="AG174" s="137">
        <f t="shared" si="33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hidden="1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6"/>
        <v>0</v>
      </c>
      <c r="U175" s="137">
        <f t="shared" si="30"/>
        <v>65332.76</v>
      </c>
      <c r="V175" s="137">
        <v>0</v>
      </c>
      <c r="W175" s="137">
        <f t="shared" si="31"/>
        <v>65332.76</v>
      </c>
      <c r="X175" s="137">
        <f t="shared" si="27"/>
        <v>65332.76</v>
      </c>
      <c r="Y175" s="137">
        <f t="shared" si="32"/>
        <v>0</v>
      </c>
      <c r="Z175" s="137">
        <v>0</v>
      </c>
      <c r="AA175" s="137">
        <f t="shared" si="28"/>
        <v>0</v>
      </c>
      <c r="AB175" s="146">
        <f t="shared" si="34"/>
        <v>0</v>
      </c>
      <c r="AC175" s="147">
        <f t="shared" si="29"/>
        <v>0</v>
      </c>
      <c r="AD175" s="137">
        <v>0</v>
      </c>
      <c r="AE175" s="138">
        <v>0.17647058823529399</v>
      </c>
      <c r="AF175" s="137">
        <f t="shared" ref="AF175:AF238" si="35">AD175*AE175</f>
        <v>0</v>
      </c>
      <c r="AG175" s="137">
        <f t="shared" si="33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hidden="1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6"/>
        <v>0</v>
      </c>
      <c r="U176" s="137">
        <f t="shared" si="30"/>
        <v>20000</v>
      </c>
      <c r="V176" s="137">
        <v>20000</v>
      </c>
      <c r="W176" s="137">
        <f t="shared" si="31"/>
        <v>0</v>
      </c>
      <c r="X176" s="137">
        <f t="shared" si="27"/>
        <v>0</v>
      </c>
      <c r="Y176" s="137">
        <f t="shared" si="32"/>
        <v>0</v>
      </c>
      <c r="Z176" s="137">
        <v>20006</v>
      </c>
      <c r="AA176" s="137">
        <f t="shared" si="28"/>
        <v>-6</v>
      </c>
      <c r="AB176" s="146">
        <f>Z176</f>
        <v>20006</v>
      </c>
      <c r="AC176" s="147">
        <f t="shared" si="29"/>
        <v>0</v>
      </c>
      <c r="AD176" s="137">
        <v>16770.380628909901</v>
      </c>
      <c r="AE176" s="138">
        <v>0.17647058823529399</v>
      </c>
      <c r="AF176" s="137">
        <f t="shared" si="35"/>
        <v>2959.47893451351</v>
      </c>
      <c r="AG176" s="137">
        <f t="shared" si="33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hidden="1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402</v>
      </c>
      <c r="G177" s="119" t="s">
        <v>402</v>
      </c>
      <c r="H177" s="119" t="s">
        <v>402</v>
      </c>
      <c r="I177" s="131" t="s">
        <v>241</v>
      </c>
      <c r="J177" s="119" t="s">
        <v>242</v>
      </c>
      <c r="K177" s="119" t="s">
        <v>243</v>
      </c>
      <c r="L177" s="119" t="s">
        <v>403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6"/>
        <v>0</v>
      </c>
      <c r="U177" s="137">
        <f t="shared" si="30"/>
        <v>20000</v>
      </c>
      <c r="V177" s="137">
        <v>20000</v>
      </c>
      <c r="W177" s="137">
        <f t="shared" si="31"/>
        <v>0</v>
      </c>
      <c r="X177" s="137">
        <f t="shared" si="27"/>
        <v>0</v>
      </c>
      <c r="Y177" s="137">
        <f t="shared" si="32"/>
        <v>0</v>
      </c>
      <c r="Z177" s="137">
        <v>20000</v>
      </c>
      <c r="AA177" s="137">
        <f t="shared" si="28"/>
        <v>0</v>
      </c>
      <c r="AB177" s="146">
        <f t="shared" si="34"/>
        <v>20000</v>
      </c>
      <c r="AC177" s="147">
        <f t="shared" si="29"/>
        <v>0</v>
      </c>
      <c r="AD177" s="137">
        <v>16765.3510236029</v>
      </c>
      <c r="AE177" s="138">
        <v>0.17647058823529399</v>
      </c>
      <c r="AF177" s="137">
        <f t="shared" si="35"/>
        <v>2958.591357106392</v>
      </c>
      <c r="AG177" s="137">
        <f t="shared" si="33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hidden="1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6"/>
        <v>400.18</v>
      </c>
      <c r="U178" s="137">
        <f t="shared" si="30"/>
        <v>20409.18</v>
      </c>
      <c r="V178" s="137">
        <v>25000</v>
      </c>
      <c r="W178" s="137">
        <f t="shared" si="31"/>
        <v>-4590.82</v>
      </c>
      <c r="X178" s="137">
        <f t="shared" si="27"/>
        <v>-4500.8039215686267</v>
      </c>
      <c r="Y178" s="137">
        <f t="shared" si="32"/>
        <v>-90.016078431372989</v>
      </c>
      <c r="Z178" s="137">
        <v>15580.3</v>
      </c>
      <c r="AA178" s="137">
        <f t="shared" si="28"/>
        <v>9419.7000000000007</v>
      </c>
      <c r="AB178" s="146">
        <f t="shared" si="34"/>
        <v>15274.803921568626</v>
      </c>
      <c r="AC178" s="147">
        <f t="shared" si="29"/>
        <v>305.49607843137346</v>
      </c>
      <c r="AD178" s="137">
        <v>13060.459927652</v>
      </c>
      <c r="AE178" s="138">
        <v>0.17647058823529399</v>
      </c>
      <c r="AF178" s="137">
        <f t="shared" si="35"/>
        <v>2304.7870460562335</v>
      </c>
      <c r="AG178" s="137">
        <f t="shared" si="33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hidden="1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404</v>
      </c>
      <c r="G179" s="119" t="s">
        <v>405</v>
      </c>
      <c r="H179" s="119" t="s">
        <v>405</v>
      </c>
      <c r="I179" s="131" t="s">
        <v>241</v>
      </c>
      <c r="J179" s="119" t="s">
        <v>242</v>
      </c>
      <c r="K179" s="119" t="s">
        <v>243</v>
      </c>
      <c r="L179" s="119" t="s">
        <v>404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6"/>
        <v>0</v>
      </c>
      <c r="U179" s="137">
        <f t="shared" si="30"/>
        <v>50000</v>
      </c>
      <c r="V179" s="137">
        <v>50000</v>
      </c>
      <c r="W179" s="137">
        <f t="shared" si="31"/>
        <v>0</v>
      </c>
      <c r="X179" s="137">
        <f t="shared" si="27"/>
        <v>0</v>
      </c>
      <c r="Y179" s="137">
        <f t="shared" si="32"/>
        <v>0</v>
      </c>
      <c r="Z179" s="137">
        <v>36919</v>
      </c>
      <c r="AA179" s="137">
        <f t="shared" si="28"/>
        <v>13081</v>
      </c>
      <c r="AB179" s="146">
        <f t="shared" si="34"/>
        <v>36919</v>
      </c>
      <c r="AC179" s="147">
        <f t="shared" si="29"/>
        <v>0</v>
      </c>
      <c r="AD179" s="137">
        <v>30947.9997220197</v>
      </c>
      <c r="AE179" s="138">
        <v>0.17647058823529399</v>
      </c>
      <c r="AF179" s="137">
        <f t="shared" si="35"/>
        <v>5461.4117156505317</v>
      </c>
      <c r="AG179" s="137">
        <f t="shared" si="33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hidden="1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406</v>
      </c>
      <c r="G180" s="119" t="s">
        <v>406</v>
      </c>
      <c r="H180" s="119" t="s">
        <v>406</v>
      </c>
      <c r="I180" s="131" t="s">
        <v>241</v>
      </c>
      <c r="J180" s="119" t="s">
        <v>242</v>
      </c>
      <c r="K180" s="119" t="s">
        <v>243</v>
      </c>
      <c r="L180" s="119" t="s">
        <v>406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6"/>
        <v>0</v>
      </c>
      <c r="U180" s="137">
        <f t="shared" si="30"/>
        <v>20000</v>
      </c>
      <c r="V180" s="137">
        <v>20000</v>
      </c>
      <c r="W180" s="137">
        <f t="shared" si="31"/>
        <v>0</v>
      </c>
      <c r="X180" s="137">
        <f t="shared" si="27"/>
        <v>0</v>
      </c>
      <c r="Y180" s="137">
        <f t="shared" si="32"/>
        <v>0</v>
      </c>
      <c r="Z180" s="137">
        <v>1652.4</v>
      </c>
      <c r="AA180" s="137">
        <f t="shared" si="28"/>
        <v>18347.599999999999</v>
      </c>
      <c r="AB180" s="146">
        <f t="shared" si="34"/>
        <v>1652.4</v>
      </c>
      <c r="AC180" s="147">
        <f t="shared" si="29"/>
        <v>0</v>
      </c>
      <c r="AD180" s="137">
        <v>1385.15330157007</v>
      </c>
      <c r="AE180" s="138">
        <v>0.17647058823529399</v>
      </c>
      <c r="AF180" s="137">
        <f t="shared" si="35"/>
        <v>244.43881792412981</v>
      </c>
      <c r="AG180" s="137">
        <f t="shared" si="33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hidden="1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407</v>
      </c>
      <c r="G181" s="119" t="s">
        <v>407</v>
      </c>
      <c r="H181" s="119" t="s">
        <v>407</v>
      </c>
      <c r="I181" s="131" t="s">
        <v>241</v>
      </c>
      <c r="J181" s="119" t="s">
        <v>242</v>
      </c>
      <c r="K181" s="119" t="s">
        <v>243</v>
      </c>
      <c r="L181" s="119" t="s">
        <v>407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6"/>
        <v>0</v>
      </c>
      <c r="U181" s="137">
        <f t="shared" si="30"/>
        <v>20000</v>
      </c>
      <c r="V181" s="137">
        <v>20000</v>
      </c>
      <c r="W181" s="137">
        <f t="shared" si="31"/>
        <v>0</v>
      </c>
      <c r="X181" s="137">
        <f t="shared" si="27"/>
        <v>0</v>
      </c>
      <c r="Y181" s="137">
        <f t="shared" si="32"/>
        <v>0</v>
      </c>
      <c r="Z181" s="137">
        <v>20000</v>
      </c>
      <c r="AA181" s="137">
        <f t="shared" si="28"/>
        <v>0</v>
      </c>
      <c r="AB181" s="146">
        <f t="shared" si="34"/>
        <v>20000</v>
      </c>
      <c r="AC181" s="147">
        <f t="shared" si="29"/>
        <v>0</v>
      </c>
      <c r="AD181" s="137">
        <v>16765.3510236029</v>
      </c>
      <c r="AE181" s="138">
        <v>0.17647058823529399</v>
      </c>
      <c r="AF181" s="137">
        <f t="shared" si="35"/>
        <v>2958.591357106392</v>
      </c>
      <c r="AG181" s="137">
        <f t="shared" si="33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hidden="1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408</v>
      </c>
      <c r="G182" s="119" t="s">
        <v>408</v>
      </c>
      <c r="H182" s="119" t="s">
        <v>408</v>
      </c>
      <c r="I182" s="131" t="s">
        <v>241</v>
      </c>
      <c r="J182" s="119" t="s">
        <v>242</v>
      </c>
      <c r="K182" s="119" t="s">
        <v>243</v>
      </c>
      <c r="L182" s="119" t="s">
        <v>408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6"/>
        <v>0</v>
      </c>
      <c r="U182" s="137">
        <f t="shared" si="30"/>
        <v>50000</v>
      </c>
      <c r="V182" s="137">
        <v>50000</v>
      </c>
      <c r="W182" s="137">
        <f t="shared" si="31"/>
        <v>0</v>
      </c>
      <c r="X182" s="137">
        <f t="shared" si="27"/>
        <v>0</v>
      </c>
      <c r="Y182" s="137">
        <f t="shared" si="32"/>
        <v>0</v>
      </c>
      <c r="Z182" s="137">
        <v>18739.93</v>
      </c>
      <c r="AA182" s="137">
        <f t="shared" si="28"/>
        <v>31260.07</v>
      </c>
      <c r="AB182" s="146">
        <f t="shared" si="34"/>
        <v>18739.93</v>
      </c>
      <c r="AC182" s="147">
        <f t="shared" si="29"/>
        <v>0</v>
      </c>
      <c r="AD182" s="137">
        <v>15709.0752303873</v>
      </c>
      <c r="AE182" s="138">
        <v>0.17647058823529399</v>
      </c>
      <c r="AF182" s="137">
        <f t="shared" si="35"/>
        <v>2772.1897465389334</v>
      </c>
      <c r="AG182" s="137">
        <f t="shared" si="33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hidden="1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409</v>
      </c>
      <c r="G183" s="119" t="s">
        <v>409</v>
      </c>
      <c r="H183" s="119" t="s">
        <v>409</v>
      </c>
      <c r="I183" s="131" t="s">
        <v>241</v>
      </c>
      <c r="J183" s="119" t="s">
        <v>242</v>
      </c>
      <c r="K183" s="119" t="s">
        <v>243</v>
      </c>
      <c r="L183" s="119" t="s">
        <v>409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6"/>
        <v>0</v>
      </c>
      <c r="U183" s="137">
        <f t="shared" si="30"/>
        <v>50000</v>
      </c>
      <c r="V183" s="137">
        <v>50000</v>
      </c>
      <c r="W183" s="137">
        <f t="shared" si="31"/>
        <v>0</v>
      </c>
      <c r="X183" s="137">
        <f t="shared" si="27"/>
        <v>0</v>
      </c>
      <c r="Y183" s="137">
        <f t="shared" si="32"/>
        <v>0</v>
      </c>
      <c r="Z183" s="137">
        <v>16354.94</v>
      </c>
      <c r="AA183" s="137">
        <f t="shared" si="28"/>
        <v>33645.06</v>
      </c>
      <c r="AB183" s="146">
        <f t="shared" si="34"/>
        <v>16354.94</v>
      </c>
      <c r="AC183" s="147">
        <f t="shared" si="29"/>
        <v>0</v>
      </c>
      <c r="AD183" s="137">
        <v>13709.815503498199</v>
      </c>
      <c r="AE183" s="138">
        <v>0.17647058823529399</v>
      </c>
      <c r="AF183" s="137">
        <f t="shared" si="35"/>
        <v>2419.3792064996805</v>
      </c>
      <c r="AG183" s="137">
        <f t="shared" si="33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hidden="1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6"/>
        <v>0</v>
      </c>
      <c r="U184" s="137">
        <f t="shared" si="30"/>
        <v>1200000</v>
      </c>
      <c r="V184" s="137">
        <v>1082000</v>
      </c>
      <c r="W184" s="137">
        <f t="shared" si="31"/>
        <v>118000</v>
      </c>
      <c r="X184" s="137">
        <f t="shared" si="27"/>
        <v>118000</v>
      </c>
      <c r="Y184" s="137">
        <f t="shared" si="32"/>
        <v>0</v>
      </c>
      <c r="Z184" s="137">
        <v>1023512.2</v>
      </c>
      <c r="AA184" s="137">
        <f t="shared" si="28"/>
        <v>58487.800000000047</v>
      </c>
      <c r="AB184" s="146">
        <f t="shared" si="34"/>
        <v>1023512.2</v>
      </c>
      <c r="AC184" s="147">
        <f t="shared" si="29"/>
        <v>0</v>
      </c>
      <c r="AD184" s="137">
        <v>857977.06549700105</v>
      </c>
      <c r="AE184" s="138">
        <v>0.17647058823529399</v>
      </c>
      <c r="AF184" s="137">
        <f t="shared" si="35"/>
        <v>151407.71744064713</v>
      </c>
      <c r="AG184" s="137">
        <f t="shared" si="33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hidden="1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410</v>
      </c>
      <c r="G185" s="119" t="s">
        <v>411</v>
      </c>
      <c r="H185" s="119" t="s">
        <v>411</v>
      </c>
      <c r="I185" s="131" t="s">
        <v>241</v>
      </c>
      <c r="J185" s="119" t="s">
        <v>242</v>
      </c>
      <c r="K185" s="119" t="s">
        <v>243</v>
      </c>
      <c r="L185" s="119" t="s">
        <v>412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6"/>
        <v>0</v>
      </c>
      <c r="U185" s="137">
        <f t="shared" si="30"/>
        <v>50000</v>
      </c>
      <c r="V185" s="137">
        <v>50000</v>
      </c>
      <c r="W185" s="137">
        <f t="shared" si="31"/>
        <v>0</v>
      </c>
      <c r="X185" s="137">
        <f t="shared" si="27"/>
        <v>0</v>
      </c>
      <c r="Y185" s="137">
        <f t="shared" si="32"/>
        <v>0</v>
      </c>
      <c r="Z185" s="137">
        <v>50000</v>
      </c>
      <c r="AA185" s="137">
        <f t="shared" si="28"/>
        <v>0</v>
      </c>
      <c r="AB185" s="146">
        <f t="shared" si="34"/>
        <v>50000</v>
      </c>
      <c r="AC185" s="147">
        <f t="shared" si="29"/>
        <v>0</v>
      </c>
      <c r="AD185" s="137">
        <v>41913.377559007102</v>
      </c>
      <c r="AE185" s="138">
        <v>0.17647058823529399</v>
      </c>
      <c r="AF185" s="137">
        <f t="shared" si="35"/>
        <v>7396.4783927659537</v>
      </c>
      <c r="AG185" s="137">
        <f t="shared" si="33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6"/>
        <v>0</v>
      </c>
      <c r="U186" s="137">
        <f t="shared" si="30"/>
        <v>6494.5</v>
      </c>
      <c r="V186" s="137">
        <v>15000</v>
      </c>
      <c r="W186" s="137">
        <f t="shared" si="31"/>
        <v>-8505.5</v>
      </c>
      <c r="X186" s="137">
        <f t="shared" si="27"/>
        <v>-8505.5</v>
      </c>
      <c r="Y186" s="137">
        <f t="shared" si="32"/>
        <v>0</v>
      </c>
      <c r="Z186" s="137">
        <v>6494.5</v>
      </c>
      <c r="AA186" s="137">
        <f t="shared" si="28"/>
        <v>8505.5</v>
      </c>
      <c r="AB186" s="146">
        <f t="shared" si="34"/>
        <v>6494.5</v>
      </c>
      <c r="AC186" s="147">
        <f t="shared" si="29"/>
        <v>0</v>
      </c>
      <c r="AD186" s="137">
        <v>5444.1286111394402</v>
      </c>
      <c r="AE186" s="138">
        <v>0.17647058823529399</v>
      </c>
      <c r="AF186" s="137">
        <f t="shared" si="35"/>
        <v>960.72857843637109</v>
      </c>
      <c r="AG186" s="137">
        <f t="shared" si="33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hidden="1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413</v>
      </c>
      <c r="G187" s="119" t="s">
        <v>414</v>
      </c>
      <c r="H187" s="119" t="s">
        <v>414</v>
      </c>
      <c r="I187" s="131" t="s">
        <v>241</v>
      </c>
      <c r="J187" s="119" t="s">
        <v>242</v>
      </c>
      <c r="K187" s="119" t="s">
        <v>243</v>
      </c>
      <c r="L187" s="119" t="s">
        <v>413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6"/>
        <v>0</v>
      </c>
      <c r="U187" s="137">
        <f t="shared" si="30"/>
        <v>10000</v>
      </c>
      <c r="V187" s="137">
        <v>10000</v>
      </c>
      <c r="W187" s="137">
        <f t="shared" si="31"/>
        <v>0</v>
      </c>
      <c r="X187" s="137">
        <f t="shared" si="27"/>
        <v>0</v>
      </c>
      <c r="Y187" s="137">
        <f t="shared" si="32"/>
        <v>0</v>
      </c>
      <c r="Z187" s="137">
        <v>4052</v>
      </c>
      <c r="AA187" s="137">
        <f t="shared" si="28"/>
        <v>5948</v>
      </c>
      <c r="AB187" s="146">
        <f t="shared" si="34"/>
        <v>4052</v>
      </c>
      <c r="AC187" s="147">
        <f t="shared" si="29"/>
        <v>0</v>
      </c>
      <c r="AD187" s="137">
        <v>3396.6601173819399</v>
      </c>
      <c r="AE187" s="138">
        <v>0.17647058823529399</v>
      </c>
      <c r="AF187" s="137">
        <f t="shared" si="35"/>
        <v>599.41060894975362</v>
      </c>
      <c r="AG187" s="137">
        <f t="shared" si="33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hidden="1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6"/>
        <v>0</v>
      </c>
      <c r="U188" s="137">
        <f t="shared" si="30"/>
        <v>110000</v>
      </c>
      <c r="V188" s="137">
        <v>125000</v>
      </c>
      <c r="W188" s="137">
        <f t="shared" si="31"/>
        <v>-15000</v>
      </c>
      <c r="X188" s="137">
        <f t="shared" si="27"/>
        <v>-15000</v>
      </c>
      <c r="Y188" s="137">
        <f t="shared" si="32"/>
        <v>0</v>
      </c>
      <c r="Z188" s="137">
        <v>85409.4</v>
      </c>
      <c r="AA188" s="137">
        <f t="shared" si="28"/>
        <v>39590.600000000006</v>
      </c>
      <c r="AB188" s="146">
        <f t="shared" si="34"/>
        <v>85409.4</v>
      </c>
      <c r="AC188" s="147">
        <f t="shared" si="29"/>
        <v>0</v>
      </c>
      <c r="AD188" s="137">
        <v>71595.928585765301</v>
      </c>
      <c r="AE188" s="138">
        <v>0.17647058823529399</v>
      </c>
      <c r="AF188" s="137">
        <f t="shared" si="35"/>
        <v>12634.575632782104</v>
      </c>
      <c r="AG188" s="137">
        <f t="shared" ref="AG188:AG201" si="36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hidden="1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415</v>
      </c>
      <c r="G189" s="119" t="s">
        <v>416</v>
      </c>
      <c r="H189" s="119" t="s">
        <v>417</v>
      </c>
      <c r="I189" s="131" t="s">
        <v>241</v>
      </c>
      <c r="J189" s="119" t="s">
        <v>242</v>
      </c>
      <c r="K189" s="119" t="s">
        <v>243</v>
      </c>
      <c r="L189" s="119" t="s">
        <v>415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6"/>
        <v>0</v>
      </c>
      <c r="U189" s="137">
        <f t="shared" si="30"/>
        <v>110219</v>
      </c>
      <c r="V189" s="137">
        <v>10001</v>
      </c>
      <c r="W189" s="137">
        <f t="shared" si="31"/>
        <v>100218</v>
      </c>
      <c r="X189" s="137">
        <f t="shared" si="27"/>
        <v>100218</v>
      </c>
      <c r="Y189" s="137">
        <f t="shared" si="32"/>
        <v>0</v>
      </c>
      <c r="Z189" s="137">
        <v>8622</v>
      </c>
      <c r="AA189" s="137">
        <f t="shared" si="28"/>
        <v>1379</v>
      </c>
      <c r="AB189" s="146">
        <f t="shared" si="34"/>
        <v>8622</v>
      </c>
      <c r="AC189" s="147">
        <f t="shared" si="29"/>
        <v>0</v>
      </c>
      <c r="AD189" s="137">
        <v>7227.5428262751902</v>
      </c>
      <c r="AE189" s="138">
        <v>0.17647058823529399</v>
      </c>
      <c r="AF189" s="137">
        <f t="shared" si="35"/>
        <v>1275.4487340485621</v>
      </c>
      <c r="AG189" s="137">
        <f t="shared" si="36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418</v>
      </c>
      <c r="G190" s="119" t="s">
        <v>419</v>
      </c>
      <c r="H190" s="119" t="s">
        <v>419</v>
      </c>
      <c r="I190" s="131" t="s">
        <v>241</v>
      </c>
      <c r="J190" s="119" t="s">
        <v>242</v>
      </c>
      <c r="K190" s="119" t="s">
        <v>243</v>
      </c>
      <c r="L190" s="119" t="s">
        <v>418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6"/>
        <v>0</v>
      </c>
      <c r="U190" s="137">
        <f t="shared" si="30"/>
        <v>20000</v>
      </c>
      <c r="V190" s="137">
        <v>10001</v>
      </c>
      <c r="W190" s="137">
        <f t="shared" si="31"/>
        <v>9999</v>
      </c>
      <c r="X190" s="137">
        <f t="shared" si="27"/>
        <v>9999</v>
      </c>
      <c r="Y190" s="137">
        <f t="shared" si="32"/>
        <v>0</v>
      </c>
      <c r="Z190" s="137">
        <v>5932</v>
      </c>
      <c r="AA190" s="137">
        <f t="shared" si="28"/>
        <v>4069</v>
      </c>
      <c r="AB190" s="146">
        <f t="shared" si="34"/>
        <v>5932</v>
      </c>
      <c r="AC190" s="147">
        <f t="shared" si="29"/>
        <v>0</v>
      </c>
      <c r="AD190" s="137">
        <v>4972.6031136006104</v>
      </c>
      <c r="AE190" s="138">
        <v>0.17647058823529399</v>
      </c>
      <c r="AF190" s="137">
        <f t="shared" si="35"/>
        <v>877.51819651775418</v>
      </c>
      <c r="AG190" s="137">
        <f t="shared" si="36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hidden="1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6"/>
        <v>0</v>
      </c>
      <c r="U191" s="137">
        <f t="shared" si="30"/>
        <v>40000</v>
      </c>
      <c r="V191" s="137">
        <v>20000</v>
      </c>
      <c r="W191" s="137">
        <f t="shared" si="31"/>
        <v>20000</v>
      </c>
      <c r="X191" s="137">
        <f t="shared" si="27"/>
        <v>20000</v>
      </c>
      <c r="Y191" s="137">
        <f t="shared" si="32"/>
        <v>0</v>
      </c>
      <c r="Z191" s="137">
        <v>3309</v>
      </c>
      <c r="AA191" s="137">
        <f t="shared" si="28"/>
        <v>16691</v>
      </c>
      <c r="AB191" s="146">
        <f t="shared" si="34"/>
        <v>3309</v>
      </c>
      <c r="AC191" s="147">
        <f t="shared" si="29"/>
        <v>0</v>
      </c>
      <c r="AD191" s="137">
        <v>2773.8273268550902</v>
      </c>
      <c r="AE191" s="138">
        <v>0.17647058823529399</v>
      </c>
      <c r="AF191" s="137">
        <f t="shared" si="35"/>
        <v>489.49894003325085</v>
      </c>
      <c r="AG191" s="137">
        <f t="shared" si="36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hidden="1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420</v>
      </c>
      <c r="G192" s="119" t="s">
        <v>420</v>
      </c>
      <c r="H192" s="119" t="s">
        <v>420</v>
      </c>
      <c r="I192" s="131" t="s">
        <v>241</v>
      </c>
      <c r="J192" s="119" t="s">
        <v>242</v>
      </c>
      <c r="K192" s="119" t="s">
        <v>243</v>
      </c>
      <c r="L192" s="119" t="s">
        <v>421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6"/>
        <v>0</v>
      </c>
      <c r="U192" s="137">
        <f t="shared" si="30"/>
        <v>20000</v>
      </c>
      <c r="V192" s="137">
        <v>20000</v>
      </c>
      <c r="W192" s="137">
        <f t="shared" si="31"/>
        <v>0</v>
      </c>
      <c r="X192" s="137">
        <f t="shared" si="27"/>
        <v>0</v>
      </c>
      <c r="Y192" s="137">
        <f t="shared" si="32"/>
        <v>0</v>
      </c>
      <c r="Z192" s="137">
        <v>2722.5</v>
      </c>
      <c r="AA192" s="137">
        <f t="shared" si="28"/>
        <v>17277.5</v>
      </c>
      <c r="AB192" s="146">
        <f t="shared" si="34"/>
        <v>2722.5</v>
      </c>
      <c r="AC192" s="147">
        <f t="shared" si="29"/>
        <v>0</v>
      </c>
      <c r="AD192" s="137">
        <v>2282.1834080879398</v>
      </c>
      <c r="AE192" s="138">
        <v>0.17647058823529399</v>
      </c>
      <c r="AF192" s="137">
        <f t="shared" si="35"/>
        <v>402.73824848610673</v>
      </c>
      <c r="AG192" s="137">
        <f t="shared" si="36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hidden="1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422</v>
      </c>
      <c r="G193" s="119" t="s">
        <v>422</v>
      </c>
      <c r="H193" s="119" t="s">
        <v>422</v>
      </c>
      <c r="I193" s="131" t="s">
        <v>241</v>
      </c>
      <c r="J193" s="119" t="s">
        <v>242</v>
      </c>
      <c r="K193" s="119" t="s">
        <v>243</v>
      </c>
      <c r="L193" s="119" t="s">
        <v>423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6"/>
        <v>0</v>
      </c>
      <c r="U193" s="137">
        <f t="shared" si="30"/>
        <v>190000</v>
      </c>
      <c r="V193" s="137">
        <v>190000</v>
      </c>
      <c r="W193" s="137">
        <f t="shared" si="31"/>
        <v>0</v>
      </c>
      <c r="X193" s="137">
        <f t="shared" si="27"/>
        <v>0</v>
      </c>
      <c r="Y193" s="137">
        <f t="shared" si="32"/>
        <v>0</v>
      </c>
      <c r="Z193" s="137">
        <v>100339.32</v>
      </c>
      <c r="AA193" s="137">
        <f t="shared" si="28"/>
        <v>89660.68</v>
      </c>
      <c r="AB193" s="146">
        <f t="shared" si="34"/>
        <v>100339.32</v>
      </c>
      <c r="AC193" s="147">
        <f t="shared" si="29"/>
        <v>0</v>
      </c>
      <c r="AD193" s="137">
        <v>84111.196063480704</v>
      </c>
      <c r="AE193" s="138">
        <v>0.17647058823529399</v>
      </c>
      <c r="AF193" s="137">
        <f t="shared" si="35"/>
        <v>14843.152246496584</v>
      </c>
      <c r="AG193" s="137">
        <f t="shared" si="36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hidden="1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424</v>
      </c>
      <c r="G194" s="119" t="s">
        <v>424</v>
      </c>
      <c r="H194" s="119" t="s">
        <v>424</v>
      </c>
      <c r="I194" s="131" t="s">
        <v>241</v>
      </c>
      <c r="J194" s="119" t="s">
        <v>242</v>
      </c>
      <c r="K194" s="119" t="s">
        <v>243</v>
      </c>
      <c r="L194" s="119" t="s">
        <v>424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7">S194*N194</f>
        <v>0</v>
      </c>
      <c r="U194" s="137">
        <f t="shared" si="30"/>
        <v>170000</v>
      </c>
      <c r="V194" s="137">
        <v>70000</v>
      </c>
      <c r="W194" s="137">
        <f t="shared" si="31"/>
        <v>100000</v>
      </c>
      <c r="X194" s="137">
        <f t="shared" ref="X194:X257" si="38">W194/(1+N194)</f>
        <v>100000</v>
      </c>
      <c r="Y194" s="137">
        <f t="shared" si="32"/>
        <v>0</v>
      </c>
      <c r="Z194" s="137">
        <v>61127.199999999997</v>
      </c>
      <c r="AA194" s="137">
        <f t="shared" ref="AA194:AA257" si="39">Q194+V194-Z194</f>
        <v>8872.8000000000029</v>
      </c>
      <c r="AB194" s="146">
        <f t="shared" si="34"/>
        <v>61127.199999999997</v>
      </c>
      <c r="AC194" s="147">
        <f t="shared" ref="AC194:AC257" si="40">IF(O194="返现",Z194*N194,Z194-AB194)</f>
        <v>0</v>
      </c>
      <c r="AD194" s="137">
        <v>51240.948254498799</v>
      </c>
      <c r="AE194" s="138">
        <v>0.17647058823529399</v>
      </c>
      <c r="AF194" s="137">
        <f t="shared" si="35"/>
        <v>9042.5202802056647</v>
      </c>
      <c r="AG194" s="137">
        <f t="shared" si="36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hidden="1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425</v>
      </c>
      <c r="G195" s="119" t="s">
        <v>425</v>
      </c>
      <c r="H195" s="119" t="s">
        <v>425</v>
      </c>
      <c r="I195" s="131" t="s">
        <v>241</v>
      </c>
      <c r="J195" s="119" t="s">
        <v>242</v>
      </c>
      <c r="K195" s="119" t="s">
        <v>243</v>
      </c>
      <c r="L195" s="119" t="s">
        <v>426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7"/>
        <v>0</v>
      </c>
      <c r="U195" s="137">
        <f t="shared" ref="U195:U258" si="41">R195+S195+T195</f>
        <v>5000</v>
      </c>
      <c r="V195" s="137">
        <v>5000</v>
      </c>
      <c r="W195" s="137">
        <f t="shared" ref="W195:W258" si="42">U195-V195</f>
        <v>0</v>
      </c>
      <c r="X195" s="137">
        <f t="shared" si="38"/>
        <v>0</v>
      </c>
      <c r="Y195" s="137">
        <f t="shared" ref="Y195:Y258" si="43">W195-X195</f>
        <v>0</v>
      </c>
      <c r="Z195" s="137">
        <v>3498.5</v>
      </c>
      <c r="AA195" s="137">
        <f t="shared" si="39"/>
        <v>1501.5</v>
      </c>
      <c r="AB195" s="146">
        <f t="shared" si="34"/>
        <v>3498.5</v>
      </c>
      <c r="AC195" s="147">
        <f t="shared" si="40"/>
        <v>0</v>
      </c>
      <c r="AD195" s="137">
        <v>2932.6790278037302</v>
      </c>
      <c r="AE195" s="138">
        <v>0.17647058823529399</v>
      </c>
      <c r="AF195" s="137">
        <f t="shared" si="35"/>
        <v>517.53159314183438</v>
      </c>
      <c r="AG195" s="137">
        <f t="shared" si="36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hidden="1" customHeight="1" x14ac:dyDescent="0.3">
      <c r="A196" s="119">
        <v>2017</v>
      </c>
      <c r="B196" s="119" t="s">
        <v>37</v>
      </c>
      <c r="C196" s="119" t="s">
        <v>1629</v>
      </c>
      <c r="D196" s="119" t="s">
        <v>1630</v>
      </c>
      <c r="E196" s="119" t="s">
        <v>1631</v>
      </c>
      <c r="F196" s="119" t="s">
        <v>269</v>
      </c>
      <c r="G196" s="119" t="s">
        <v>1628</v>
      </c>
      <c r="H196" s="119" t="s">
        <v>400</v>
      </c>
      <c r="I196" s="131" t="s">
        <v>241</v>
      </c>
      <c r="J196" s="119" t="s">
        <v>242</v>
      </c>
      <c r="K196" s="119" t="s">
        <v>243</v>
      </c>
      <c r="L196" s="119" t="s">
        <v>429</v>
      </c>
      <c r="M196" s="119" t="s">
        <v>45</v>
      </c>
      <c r="N196" s="135">
        <v>0.02</v>
      </c>
      <c r="O196" s="135" t="s">
        <v>1632</v>
      </c>
      <c r="P196" s="135"/>
      <c r="Q196" s="137">
        <v>0</v>
      </c>
      <c r="R196" s="137">
        <v>0</v>
      </c>
      <c r="S196" s="137">
        <v>60000</v>
      </c>
      <c r="T196" s="137">
        <f t="shared" si="37"/>
        <v>1200</v>
      </c>
      <c r="U196" s="137">
        <f t="shared" si="41"/>
        <v>61200</v>
      </c>
      <c r="V196" s="137">
        <v>20000</v>
      </c>
      <c r="W196" s="137">
        <f t="shared" si="42"/>
        <v>41200</v>
      </c>
      <c r="X196" s="137">
        <f t="shared" si="38"/>
        <v>40392.156862745098</v>
      </c>
      <c r="Y196" s="137">
        <f t="shared" si="43"/>
        <v>807.8431372549021</v>
      </c>
      <c r="Z196" s="137">
        <v>10500.3</v>
      </c>
      <c r="AA196" s="137">
        <f t="shared" si="39"/>
        <v>9499.7000000000007</v>
      </c>
      <c r="AB196" s="146">
        <f t="shared" si="34"/>
        <v>10294.411764705881</v>
      </c>
      <c r="AC196" s="147">
        <f t="shared" si="40"/>
        <v>205.8882352941182</v>
      </c>
      <c r="AD196" s="137">
        <v>8802.0607676568507</v>
      </c>
      <c r="AE196" s="138">
        <v>0.17647058823529399</v>
      </c>
      <c r="AF196" s="137">
        <f t="shared" si="35"/>
        <v>1553.3048413512079</v>
      </c>
      <c r="AG196" s="137">
        <f t="shared" si="36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hidden="1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7"/>
        <v>0</v>
      </c>
      <c r="U197" s="137">
        <f t="shared" si="41"/>
        <v>28037</v>
      </c>
      <c r="V197" s="137">
        <v>35000</v>
      </c>
      <c r="W197" s="137">
        <f t="shared" si="42"/>
        <v>-6963</v>
      </c>
      <c r="X197" s="137">
        <f t="shared" si="38"/>
        <v>-6963</v>
      </c>
      <c r="Y197" s="137">
        <f t="shared" si="43"/>
        <v>0</v>
      </c>
      <c r="Z197" s="137">
        <v>22745.5</v>
      </c>
      <c r="AA197" s="137">
        <f t="shared" si="39"/>
        <v>12254.5</v>
      </c>
      <c r="AB197" s="146">
        <f t="shared" si="34"/>
        <v>22745.5</v>
      </c>
      <c r="AC197" s="147">
        <f t="shared" si="40"/>
        <v>0</v>
      </c>
      <c r="AD197" s="137">
        <v>19066.814585367902</v>
      </c>
      <c r="AE197" s="138">
        <v>0.17647058823529399</v>
      </c>
      <c r="AF197" s="137">
        <f t="shared" si="35"/>
        <v>3364.7319856531567</v>
      </c>
      <c r="AG197" s="137">
        <f t="shared" si="36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hidden="1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7"/>
        <v>0</v>
      </c>
      <c r="U198" s="137">
        <f t="shared" si="41"/>
        <v>40000</v>
      </c>
      <c r="V198" s="137">
        <v>45658</v>
      </c>
      <c r="W198" s="137">
        <f t="shared" si="42"/>
        <v>-5658</v>
      </c>
      <c r="X198" s="137">
        <f t="shared" si="38"/>
        <v>-5658</v>
      </c>
      <c r="Y198" s="137">
        <f t="shared" si="43"/>
        <v>0</v>
      </c>
      <c r="Z198" s="137">
        <v>34270</v>
      </c>
      <c r="AA198" s="137">
        <f t="shared" si="39"/>
        <v>11388</v>
      </c>
      <c r="AB198" s="146">
        <f t="shared" si="34"/>
        <v>34270</v>
      </c>
      <c r="AC198" s="147">
        <f t="shared" si="40"/>
        <v>0</v>
      </c>
      <c r="AD198" s="137">
        <v>28727.428978943499</v>
      </c>
      <c r="AE198" s="138">
        <v>0.17647058823529399</v>
      </c>
      <c r="AF198" s="137">
        <f t="shared" si="35"/>
        <v>5069.5462904017904</v>
      </c>
      <c r="AG198" s="137">
        <f t="shared" si="36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hidden="1" customHeight="1" x14ac:dyDescent="0.3">
      <c r="A199" s="119">
        <v>2017</v>
      </c>
      <c r="B199" s="119" t="s">
        <v>37</v>
      </c>
      <c r="C199" s="119" t="s">
        <v>430</v>
      </c>
      <c r="D199" s="119" t="s">
        <v>431</v>
      </c>
      <c r="E199" s="119" t="s">
        <v>432</v>
      </c>
      <c r="F199" s="119" t="s">
        <v>433</v>
      </c>
      <c r="G199" s="119" t="s">
        <v>433</v>
      </c>
      <c r="H199" s="119" t="s">
        <v>433</v>
      </c>
      <c r="I199" s="131" t="s">
        <v>241</v>
      </c>
      <c r="J199" s="119" t="s">
        <v>242</v>
      </c>
      <c r="K199" s="119" t="s">
        <v>243</v>
      </c>
      <c r="L199" s="119" t="s">
        <v>434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7"/>
        <v>0</v>
      </c>
      <c r="U199" s="137">
        <f t="shared" si="41"/>
        <v>50000</v>
      </c>
      <c r="V199" s="137">
        <v>50000</v>
      </c>
      <c r="W199" s="137">
        <f t="shared" si="42"/>
        <v>0</v>
      </c>
      <c r="X199" s="137">
        <f t="shared" si="38"/>
        <v>0</v>
      </c>
      <c r="Y199" s="137">
        <f t="shared" si="43"/>
        <v>0</v>
      </c>
      <c r="Z199" s="137">
        <v>2618.61</v>
      </c>
      <c r="AA199" s="137">
        <f t="shared" si="39"/>
        <v>47381.39</v>
      </c>
      <c r="AB199" s="146">
        <f t="shared" si="34"/>
        <v>2618.61</v>
      </c>
      <c r="AC199" s="147">
        <f t="shared" si="40"/>
        <v>0</v>
      </c>
      <c r="AD199" s="137">
        <v>2195.0957921958302</v>
      </c>
      <c r="AE199" s="138">
        <v>0.17647058823529399</v>
      </c>
      <c r="AF199" s="137">
        <f t="shared" si="35"/>
        <v>387.36984568161682</v>
      </c>
      <c r="AG199" s="137">
        <f t="shared" si="36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hidden="1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7"/>
        <v>0</v>
      </c>
      <c r="U200" s="137">
        <f t="shared" si="41"/>
        <v>136901</v>
      </c>
      <c r="V200" s="137">
        <v>159987.5</v>
      </c>
      <c r="W200" s="137">
        <f t="shared" si="42"/>
        <v>-23086.5</v>
      </c>
      <c r="X200" s="137">
        <f t="shared" si="38"/>
        <v>-23086.5</v>
      </c>
      <c r="Y200" s="137">
        <f t="shared" si="43"/>
        <v>0</v>
      </c>
      <c r="Z200" s="137">
        <v>105154.12</v>
      </c>
      <c r="AA200" s="137">
        <f t="shared" si="39"/>
        <v>54833.380000000005</v>
      </c>
      <c r="AB200" s="146">
        <f t="shared" si="34"/>
        <v>105154.12</v>
      </c>
      <c r="AC200" s="147">
        <f t="shared" si="40"/>
        <v>0</v>
      </c>
      <c r="AD200" s="137">
        <v>88147.286668902903</v>
      </c>
      <c r="AE200" s="138">
        <v>0.17647058823529399</v>
      </c>
      <c r="AF200" s="137">
        <f t="shared" si="35"/>
        <v>15555.403529806383</v>
      </c>
      <c r="AG200" s="137">
        <f t="shared" si="36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hidden="1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435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7"/>
        <v>386.58</v>
      </c>
      <c r="U201" s="137">
        <f t="shared" si="41"/>
        <v>19715.580000000002</v>
      </c>
      <c r="V201" s="137">
        <v>22712</v>
      </c>
      <c r="W201" s="137">
        <f t="shared" si="42"/>
        <v>-2996.4199999999983</v>
      </c>
      <c r="X201" s="137">
        <f t="shared" si="38"/>
        <v>-2937.6666666666647</v>
      </c>
      <c r="Y201" s="137">
        <f t="shared" si="43"/>
        <v>-58.753333333333558</v>
      </c>
      <c r="Z201" s="137">
        <v>12762</v>
      </c>
      <c r="AA201" s="137">
        <f t="shared" si="39"/>
        <v>9950</v>
      </c>
      <c r="AB201" s="146">
        <f t="shared" si="34"/>
        <v>12511.764705882353</v>
      </c>
      <c r="AC201" s="147">
        <f t="shared" si="40"/>
        <v>250.23529411764684</v>
      </c>
      <c r="AD201" s="137">
        <v>10697.970488161</v>
      </c>
      <c r="AE201" s="138">
        <v>0.17647058823529399</v>
      </c>
      <c r="AF201" s="137">
        <f t="shared" si="35"/>
        <v>1887.8771449695869</v>
      </c>
      <c r="AG201" s="137">
        <f t="shared" si="36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436</v>
      </c>
      <c r="G202" s="119" t="s">
        <v>436</v>
      </c>
      <c r="H202" s="119" t="s">
        <v>436</v>
      </c>
      <c r="I202" s="119" t="s">
        <v>168</v>
      </c>
      <c r="J202" s="119" t="s">
        <v>169</v>
      </c>
      <c r="K202" s="119" t="s">
        <v>170</v>
      </c>
      <c r="L202" s="119" t="s">
        <v>436</v>
      </c>
      <c r="M202" s="119" t="s">
        <v>45</v>
      </c>
      <c r="N202" s="136">
        <v>0.04</v>
      </c>
      <c r="O202" s="135" t="s">
        <v>50</v>
      </c>
      <c r="P202" s="135" t="s">
        <v>437</v>
      </c>
      <c r="Q202" s="137">
        <v>0</v>
      </c>
      <c r="R202" s="137">
        <v>0</v>
      </c>
      <c r="S202" s="137">
        <v>3880000</v>
      </c>
      <c r="T202" s="137">
        <f t="shared" si="37"/>
        <v>155200</v>
      </c>
      <c r="U202" s="137">
        <f t="shared" si="41"/>
        <v>4035200</v>
      </c>
      <c r="V202" s="137">
        <v>3875900.8</v>
      </c>
      <c r="W202" s="137">
        <f t="shared" si="42"/>
        <v>159299.20000000019</v>
      </c>
      <c r="X202" s="137">
        <f t="shared" si="38"/>
        <v>153172.30769230786</v>
      </c>
      <c r="Y202" s="137">
        <f t="shared" si="43"/>
        <v>6126.8923076923238</v>
      </c>
      <c r="Z202" s="137">
        <f>4521795.9-632400</f>
        <v>3889395.9000000004</v>
      </c>
      <c r="AA202" s="137">
        <f t="shared" si="39"/>
        <v>-13495.100000000559</v>
      </c>
      <c r="AB202" s="146">
        <f t="shared" si="34"/>
        <v>3739803.75</v>
      </c>
      <c r="AC202" s="147">
        <f t="shared" si="40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5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hidden="1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438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7"/>
        <v>0</v>
      </c>
      <c r="U203" s="137">
        <f t="shared" si="41"/>
        <v>30000</v>
      </c>
      <c r="V203" s="137">
        <v>30000</v>
      </c>
      <c r="W203" s="137">
        <f t="shared" si="42"/>
        <v>0</v>
      </c>
      <c r="X203" s="137">
        <f t="shared" si="38"/>
        <v>0</v>
      </c>
      <c r="Y203" s="137">
        <f t="shared" si="43"/>
        <v>0</v>
      </c>
      <c r="Z203" s="137">
        <v>22005.599999999999</v>
      </c>
      <c r="AA203" s="137">
        <f t="shared" si="39"/>
        <v>7994.4000000000015</v>
      </c>
      <c r="AB203" s="146">
        <f t="shared" si="34"/>
        <v>22005.599999999999</v>
      </c>
      <c r="AC203" s="147">
        <f t="shared" si="40"/>
        <v>0</v>
      </c>
      <c r="AD203" s="137">
        <v>18446.580424249802</v>
      </c>
      <c r="AE203" s="138">
        <v>0.17647058823529399</v>
      </c>
      <c r="AF203" s="137">
        <f t="shared" si="35"/>
        <v>3255.2788983970213</v>
      </c>
      <c r="AG203" s="137">
        <f t="shared" ref="AG203:AG234" si="44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hidden="1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7"/>
        <v>0</v>
      </c>
      <c r="U204" s="137">
        <f t="shared" si="41"/>
        <v>289774.5</v>
      </c>
      <c r="V204" s="137">
        <v>0</v>
      </c>
      <c r="W204" s="137">
        <f t="shared" si="42"/>
        <v>289774.5</v>
      </c>
      <c r="X204" s="137">
        <f t="shared" si="38"/>
        <v>289774.5</v>
      </c>
      <c r="Y204" s="137">
        <f t="shared" si="43"/>
        <v>0</v>
      </c>
      <c r="Z204" s="137">
        <v>0</v>
      </c>
      <c r="AA204" s="137">
        <f t="shared" si="39"/>
        <v>0</v>
      </c>
      <c r="AB204" s="146">
        <f t="shared" si="34"/>
        <v>0</v>
      </c>
      <c r="AC204" s="147">
        <f t="shared" si="40"/>
        <v>0</v>
      </c>
      <c r="AD204" s="137">
        <v>0</v>
      </c>
      <c r="AE204" s="138">
        <v>0.17647058823529399</v>
      </c>
      <c r="AF204" s="137">
        <f t="shared" si="35"/>
        <v>0</v>
      </c>
      <c r="AG204" s="137">
        <f t="shared" si="44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hidden="1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7"/>
        <v>0</v>
      </c>
      <c r="U205" s="137">
        <f t="shared" si="41"/>
        <v>995956.5</v>
      </c>
      <c r="V205" s="137">
        <v>986000</v>
      </c>
      <c r="W205" s="137">
        <f t="shared" si="42"/>
        <v>9956.5</v>
      </c>
      <c r="X205" s="137">
        <f t="shared" si="38"/>
        <v>9956.5</v>
      </c>
      <c r="Y205" s="137">
        <f t="shared" si="43"/>
        <v>0</v>
      </c>
      <c r="Z205" s="137">
        <v>849905</v>
      </c>
      <c r="AA205" s="137">
        <f t="shared" si="39"/>
        <v>136095</v>
      </c>
      <c r="AB205" s="146">
        <f t="shared" si="34"/>
        <v>849905</v>
      </c>
      <c r="AC205" s="147">
        <f t="shared" si="40"/>
        <v>0</v>
      </c>
      <c r="AD205" s="137">
        <v>712447.78308575903</v>
      </c>
      <c r="AE205" s="138">
        <v>0.17647058823529399</v>
      </c>
      <c r="AF205" s="137">
        <f t="shared" si="35"/>
        <v>125726.07936807504</v>
      </c>
      <c r="AG205" s="137">
        <f t="shared" si="44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hidden="1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7"/>
        <v>0</v>
      </c>
      <c r="U206" s="137">
        <f t="shared" si="41"/>
        <v>48284.5</v>
      </c>
      <c r="V206" s="137">
        <v>61781.5</v>
      </c>
      <c r="W206" s="137">
        <f t="shared" si="42"/>
        <v>-13497</v>
      </c>
      <c r="X206" s="137">
        <f t="shared" si="38"/>
        <v>-13497</v>
      </c>
      <c r="Y206" s="137">
        <f t="shared" si="43"/>
        <v>0</v>
      </c>
      <c r="Z206" s="137">
        <v>45856.85</v>
      </c>
      <c r="AA206" s="137">
        <f t="shared" si="39"/>
        <v>15924.650000000001</v>
      </c>
      <c r="AB206" s="146">
        <f t="shared" si="34"/>
        <v>45856.85</v>
      </c>
      <c r="AC206" s="147">
        <f t="shared" si="40"/>
        <v>0</v>
      </c>
      <c r="AD206" s="137">
        <v>38440.309354335099</v>
      </c>
      <c r="AE206" s="138">
        <v>0.17647058823529399</v>
      </c>
      <c r="AF206" s="137">
        <f t="shared" si="35"/>
        <v>6783.5840037061889</v>
      </c>
      <c r="AG206" s="137">
        <f t="shared" si="44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hidden="1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 t="s">
        <v>1677</v>
      </c>
      <c r="Q207" s="137"/>
      <c r="R207" s="137">
        <v>0</v>
      </c>
      <c r="S207" s="137">
        <v>380000</v>
      </c>
      <c r="T207" s="137">
        <f t="shared" si="37"/>
        <v>0</v>
      </c>
      <c r="U207" s="137">
        <f t="shared" si="41"/>
        <v>380000</v>
      </c>
      <c r="V207" s="137">
        <v>418109</v>
      </c>
      <c r="W207" s="137">
        <f t="shared" si="42"/>
        <v>-38109</v>
      </c>
      <c r="X207" s="137">
        <f t="shared" si="38"/>
        <v>-38109</v>
      </c>
      <c r="Y207" s="137">
        <f t="shared" si="43"/>
        <v>0</v>
      </c>
      <c r="Z207" s="137">
        <v>314718.5</v>
      </c>
      <c r="AA207" s="137">
        <f t="shared" si="39"/>
        <v>103390.5</v>
      </c>
      <c r="AB207" s="146">
        <f t="shared" si="34"/>
        <v>314718.5</v>
      </c>
      <c r="AC207" s="147">
        <f t="shared" si="40"/>
        <v>0</v>
      </c>
      <c r="AD207" s="137">
        <v>261228.05957294101</v>
      </c>
      <c r="AE207" s="138">
        <v>0.17647058823529399</v>
      </c>
      <c r="AF207" s="137">
        <f t="shared" si="35"/>
        <v>46099.06933640132</v>
      </c>
      <c r="AG207" s="137">
        <f t="shared" si="44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hidden="1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7"/>
        <v>0</v>
      </c>
      <c r="U208" s="137">
        <f t="shared" si="41"/>
        <v>20000</v>
      </c>
      <c r="V208" s="137">
        <v>20000</v>
      </c>
      <c r="W208" s="137">
        <f t="shared" si="42"/>
        <v>0</v>
      </c>
      <c r="X208" s="137">
        <f t="shared" si="38"/>
        <v>0</v>
      </c>
      <c r="Y208" s="137">
        <f t="shared" si="43"/>
        <v>0</v>
      </c>
      <c r="Z208" s="137">
        <v>0</v>
      </c>
      <c r="AA208" s="137">
        <f t="shared" si="39"/>
        <v>20000</v>
      </c>
      <c r="AB208" s="146">
        <f t="shared" si="34"/>
        <v>0</v>
      </c>
      <c r="AC208" s="147">
        <f t="shared" si="40"/>
        <v>0</v>
      </c>
      <c r="AD208" s="137">
        <v>0</v>
      </c>
      <c r="AE208" s="138">
        <v>0.17647058823529399</v>
      </c>
      <c r="AF208" s="137">
        <f t="shared" si="35"/>
        <v>0</v>
      </c>
      <c r="AG208" s="137">
        <f t="shared" si="44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7"/>
        <v>0</v>
      </c>
      <c r="U209" s="137">
        <f t="shared" si="41"/>
        <v>616858</v>
      </c>
      <c r="V209" s="137">
        <v>663605.5</v>
      </c>
      <c r="W209" s="137">
        <f t="shared" si="42"/>
        <v>-46747.5</v>
      </c>
      <c r="X209" s="137">
        <f t="shared" si="38"/>
        <v>-46747.5</v>
      </c>
      <c r="Y209" s="137">
        <f t="shared" si="43"/>
        <v>0</v>
      </c>
      <c r="Z209" s="137">
        <v>560545.22</v>
      </c>
      <c r="AA209" s="137">
        <f t="shared" si="39"/>
        <v>103060.28000000003</v>
      </c>
      <c r="AB209" s="146">
        <f t="shared" si="34"/>
        <v>560545.22</v>
      </c>
      <c r="AC209" s="147">
        <f t="shared" si="40"/>
        <v>0</v>
      </c>
      <c r="AD209" s="137">
        <v>469886.86889513402</v>
      </c>
      <c r="AE209" s="138">
        <v>0.17647058823529399</v>
      </c>
      <c r="AF209" s="137">
        <f t="shared" si="35"/>
        <v>82921.212157964765</v>
      </c>
      <c r="AG209" s="137">
        <f t="shared" si="44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7"/>
        <v>0</v>
      </c>
      <c r="U210" s="137">
        <f t="shared" si="41"/>
        <v>296864</v>
      </c>
      <c r="V210" s="137">
        <v>310832.5</v>
      </c>
      <c r="W210" s="137">
        <f t="shared" si="42"/>
        <v>-13968.5</v>
      </c>
      <c r="X210" s="137">
        <f t="shared" si="38"/>
        <v>-13968.5</v>
      </c>
      <c r="Y210" s="137">
        <f t="shared" si="43"/>
        <v>0</v>
      </c>
      <c r="Z210" s="137">
        <v>11601</v>
      </c>
      <c r="AA210" s="137">
        <f t="shared" si="39"/>
        <v>299231.5</v>
      </c>
      <c r="AB210" s="146">
        <f t="shared" si="34"/>
        <v>11601</v>
      </c>
      <c r="AC210" s="147">
        <f t="shared" si="40"/>
        <v>0</v>
      </c>
      <c r="AD210" s="137">
        <v>9724.7418612408401</v>
      </c>
      <c r="AE210" s="138">
        <v>0.17647058823529399</v>
      </c>
      <c r="AF210" s="137">
        <f t="shared" si="35"/>
        <v>1716.1309166895587</v>
      </c>
      <c r="AG210" s="137">
        <f t="shared" si="44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hidden="1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439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7"/>
        <v>0</v>
      </c>
      <c r="U211" s="137">
        <f t="shared" si="41"/>
        <v>926006</v>
      </c>
      <c r="V211" s="137">
        <v>1017927</v>
      </c>
      <c r="W211" s="137">
        <f t="shared" si="42"/>
        <v>-91921</v>
      </c>
      <c r="X211" s="137">
        <f t="shared" si="38"/>
        <v>-91921</v>
      </c>
      <c r="Y211" s="137">
        <f t="shared" si="43"/>
        <v>0</v>
      </c>
      <c r="Z211" s="137">
        <v>623138</v>
      </c>
      <c r="AA211" s="137">
        <f t="shared" si="39"/>
        <v>394789</v>
      </c>
      <c r="AB211" s="146">
        <f t="shared" si="34"/>
        <v>623138</v>
      </c>
      <c r="AC211" s="147">
        <f t="shared" si="40"/>
        <v>0</v>
      </c>
      <c r="AD211" s="137">
        <v>522356.36530729203</v>
      </c>
      <c r="AE211" s="138">
        <v>0.17647058823529399</v>
      </c>
      <c r="AF211" s="137">
        <f t="shared" si="35"/>
        <v>92180.535054227934</v>
      </c>
      <c r="AG211" s="137">
        <f t="shared" si="44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7"/>
        <v>0</v>
      </c>
      <c r="U212" s="137">
        <f t="shared" si="41"/>
        <v>704396</v>
      </c>
      <c r="V212" s="137">
        <v>748371</v>
      </c>
      <c r="W212" s="137">
        <f t="shared" si="42"/>
        <v>-43975</v>
      </c>
      <c r="X212" s="137">
        <f t="shared" si="38"/>
        <v>-43975</v>
      </c>
      <c r="Y212" s="137">
        <f t="shared" si="43"/>
        <v>0</v>
      </c>
      <c r="Z212" s="137">
        <v>633004.68999999994</v>
      </c>
      <c r="AA212" s="137">
        <f t="shared" si="39"/>
        <v>115366.31000000006</v>
      </c>
      <c r="AB212" s="146">
        <v>633034.77</v>
      </c>
      <c r="AC212" s="147">
        <f t="shared" si="40"/>
        <v>-30.080000000074506</v>
      </c>
      <c r="AD212" s="137">
        <v>530627.29137184599</v>
      </c>
      <c r="AE212" s="138">
        <v>0.17647058823529399</v>
      </c>
      <c r="AF212" s="137">
        <f t="shared" si="35"/>
        <v>93640.110242090406</v>
      </c>
      <c r="AG212" s="137">
        <f t="shared" si="44"/>
        <v>93670.190242090481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440</v>
      </c>
      <c r="G213" s="119" t="s">
        <v>440</v>
      </c>
      <c r="H213" s="119" t="s">
        <v>440</v>
      </c>
      <c r="I213" s="131" t="s">
        <v>241</v>
      </c>
      <c r="J213" s="119" t="s">
        <v>242</v>
      </c>
      <c r="K213" s="119" t="s">
        <v>243</v>
      </c>
      <c r="L213" s="119" t="s">
        <v>441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7"/>
        <v>0</v>
      </c>
      <c r="U213" s="137">
        <f t="shared" si="41"/>
        <v>150000</v>
      </c>
      <c r="V213" s="137">
        <v>144000</v>
      </c>
      <c r="W213" s="137">
        <f t="shared" si="42"/>
        <v>6000</v>
      </c>
      <c r="X213" s="137">
        <f t="shared" si="38"/>
        <v>6000</v>
      </c>
      <c r="Y213" s="137">
        <f t="shared" si="43"/>
        <v>0</v>
      </c>
      <c r="Z213" s="137">
        <v>114737.06</v>
      </c>
      <c r="AA213" s="137">
        <f t="shared" si="39"/>
        <v>29262.940000000002</v>
      </c>
      <c r="AB213" s="146">
        <f t="shared" si="34"/>
        <v>114737.06</v>
      </c>
      <c r="AC213" s="147">
        <f t="shared" si="40"/>
        <v>0</v>
      </c>
      <c r="AD213" s="137">
        <v>96180.354315809105</v>
      </c>
      <c r="AE213" s="138">
        <v>0.17647058823529399</v>
      </c>
      <c r="AF213" s="137">
        <f t="shared" si="35"/>
        <v>16973.003702789829</v>
      </c>
      <c r="AG213" s="137">
        <f t="shared" si="44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442</v>
      </c>
      <c r="G214" s="119" t="s">
        <v>442</v>
      </c>
      <c r="H214" s="119" t="s">
        <v>442</v>
      </c>
      <c r="I214" s="131" t="s">
        <v>241</v>
      </c>
      <c r="J214" s="119" t="s">
        <v>242</v>
      </c>
      <c r="K214" s="119" t="s">
        <v>243</v>
      </c>
      <c r="L214" s="119" t="s">
        <v>442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7"/>
        <v>1880</v>
      </c>
      <c r="U214" s="137">
        <f t="shared" si="41"/>
        <v>95880</v>
      </c>
      <c r="V214" s="137">
        <v>94000</v>
      </c>
      <c r="W214" s="137">
        <f t="shared" si="42"/>
        <v>1880</v>
      </c>
      <c r="X214" s="137">
        <f t="shared" si="38"/>
        <v>1843.1372549019607</v>
      </c>
      <c r="Y214" s="137">
        <f t="shared" si="43"/>
        <v>36.862745098039341</v>
      </c>
      <c r="Z214" s="137">
        <v>59005</v>
      </c>
      <c r="AA214" s="137">
        <f t="shared" si="39"/>
        <v>34995</v>
      </c>
      <c r="AB214" s="146">
        <f t="shared" si="34"/>
        <v>57848.039215686273</v>
      </c>
      <c r="AC214" s="147">
        <f t="shared" si="40"/>
        <v>1156.9607843137273</v>
      </c>
      <c r="AD214" s="137">
        <v>49461.976857384303</v>
      </c>
      <c r="AE214" s="138">
        <v>0.17647058823529399</v>
      </c>
      <c r="AF214" s="137">
        <f t="shared" si="35"/>
        <v>8728.5841513031064</v>
      </c>
      <c r="AG214" s="137">
        <f t="shared" si="44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443</v>
      </c>
      <c r="G215" s="119" t="s">
        <v>443</v>
      </c>
      <c r="H215" s="119" t="s">
        <v>443</v>
      </c>
      <c r="I215" s="131" t="s">
        <v>241</v>
      </c>
      <c r="J215" s="119" t="s">
        <v>242</v>
      </c>
      <c r="K215" s="119" t="s">
        <v>243</v>
      </c>
      <c r="L215" s="119" t="s">
        <v>444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7"/>
        <v>0</v>
      </c>
      <c r="U215" s="137">
        <f t="shared" si="41"/>
        <v>20000</v>
      </c>
      <c r="V215" s="137">
        <v>20000</v>
      </c>
      <c r="W215" s="137">
        <f t="shared" si="42"/>
        <v>0</v>
      </c>
      <c r="X215" s="137">
        <f t="shared" si="38"/>
        <v>0</v>
      </c>
      <c r="Y215" s="137">
        <f t="shared" si="43"/>
        <v>0</v>
      </c>
      <c r="Z215" s="137">
        <v>9562.7999999999993</v>
      </c>
      <c r="AA215" s="137">
        <f t="shared" si="39"/>
        <v>10437.200000000001</v>
      </c>
      <c r="AB215" s="146">
        <f t="shared" si="34"/>
        <v>9562.7999999999993</v>
      </c>
      <c r="AC215" s="147">
        <f t="shared" si="40"/>
        <v>0</v>
      </c>
      <c r="AD215" s="137">
        <v>8016.1849384254701</v>
      </c>
      <c r="AE215" s="138">
        <v>0.17647058823529399</v>
      </c>
      <c r="AF215" s="137">
        <f t="shared" si="35"/>
        <v>1414.6208714868467</v>
      </c>
      <c r="AG215" s="137">
        <f t="shared" si="44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hidden="1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7"/>
        <v>0</v>
      </c>
      <c r="U216" s="137">
        <f t="shared" si="41"/>
        <v>80041</v>
      </c>
      <c r="V216" s="137">
        <v>95198</v>
      </c>
      <c r="W216" s="137">
        <f t="shared" si="42"/>
        <v>-15157</v>
      </c>
      <c r="X216" s="137">
        <f t="shared" si="38"/>
        <v>-15157</v>
      </c>
      <c r="Y216" s="137">
        <f t="shared" si="43"/>
        <v>0</v>
      </c>
      <c r="Z216" s="137">
        <v>74344.7</v>
      </c>
      <c r="AA216" s="137">
        <f t="shared" si="39"/>
        <v>20853.300000000003</v>
      </c>
      <c r="AB216" s="146">
        <f t="shared" si="34"/>
        <v>74344.7</v>
      </c>
      <c r="AC216" s="147">
        <f t="shared" si="40"/>
        <v>0</v>
      </c>
      <c r="AD216" s="137">
        <v>62320.749612222397</v>
      </c>
      <c r="AE216" s="138">
        <v>0.17647058823529399</v>
      </c>
      <c r="AF216" s="137">
        <f t="shared" si="35"/>
        <v>10997.779343333355</v>
      </c>
      <c r="AG216" s="137">
        <f t="shared" si="44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hidden="1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7"/>
        <v>0</v>
      </c>
      <c r="U217" s="137">
        <f t="shared" si="41"/>
        <v>36538.29</v>
      </c>
      <c r="V217" s="137">
        <v>60925.5</v>
      </c>
      <c r="W217" s="137">
        <f t="shared" si="42"/>
        <v>-24387.21</v>
      </c>
      <c r="X217" s="137">
        <f t="shared" si="38"/>
        <v>-24387.21</v>
      </c>
      <c r="Y217" s="137">
        <f t="shared" si="43"/>
        <v>0</v>
      </c>
      <c r="Z217" s="137">
        <v>36538.29</v>
      </c>
      <c r="AA217" s="137">
        <f t="shared" si="39"/>
        <v>24387.21</v>
      </c>
      <c r="AB217" s="146">
        <f t="shared" si="34"/>
        <v>36538.29</v>
      </c>
      <c r="AC217" s="147">
        <f t="shared" si="40"/>
        <v>0</v>
      </c>
      <c r="AD217" s="137">
        <v>30628.862882609901</v>
      </c>
      <c r="AE217" s="138">
        <v>0.17647058823529399</v>
      </c>
      <c r="AF217" s="137">
        <f t="shared" si="35"/>
        <v>5405.0934498723318</v>
      </c>
      <c r="AG217" s="137">
        <f t="shared" si="44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hidden="1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7"/>
        <v>0</v>
      </c>
      <c r="U218" s="137">
        <f t="shared" si="41"/>
        <v>14221.9</v>
      </c>
      <c r="V218" s="137">
        <v>24909</v>
      </c>
      <c r="W218" s="137">
        <f t="shared" si="42"/>
        <v>-10687.1</v>
      </c>
      <c r="X218" s="137">
        <f t="shared" si="38"/>
        <v>-10687.1</v>
      </c>
      <c r="Y218" s="137">
        <f t="shared" si="43"/>
        <v>0</v>
      </c>
      <c r="Z218" s="137">
        <v>14221.9</v>
      </c>
      <c r="AA218" s="137">
        <f t="shared" si="39"/>
        <v>10687.1</v>
      </c>
      <c r="AB218" s="146">
        <f t="shared" si="34"/>
        <v>14221.9</v>
      </c>
      <c r="AC218" s="147">
        <f t="shared" si="40"/>
        <v>0</v>
      </c>
      <c r="AD218" s="137">
        <v>11921.757286128901</v>
      </c>
      <c r="AE218" s="138">
        <v>0.17647058823529399</v>
      </c>
      <c r="AF218" s="137">
        <f t="shared" si="35"/>
        <v>2103.8395210815693</v>
      </c>
      <c r="AG218" s="137">
        <f t="shared" si="44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hidden="1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445</v>
      </c>
      <c r="H219" s="119" t="s">
        <v>445</v>
      </c>
      <c r="I219" s="131" t="s">
        <v>241</v>
      </c>
      <c r="J219" s="119" t="s">
        <v>242</v>
      </c>
      <c r="K219" s="119" t="s">
        <v>243</v>
      </c>
      <c r="L219" s="119" t="s">
        <v>1644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7"/>
        <v>0</v>
      </c>
      <c r="U219" s="137">
        <f t="shared" si="41"/>
        <v>20000</v>
      </c>
      <c r="V219" s="137">
        <v>20000</v>
      </c>
      <c r="W219" s="137">
        <f t="shared" si="42"/>
        <v>0</v>
      </c>
      <c r="X219" s="137">
        <f t="shared" si="38"/>
        <v>0</v>
      </c>
      <c r="Y219" s="137">
        <f t="shared" si="43"/>
        <v>0</v>
      </c>
      <c r="Z219" s="137">
        <v>20011.8</v>
      </c>
      <c r="AA219" s="137">
        <f t="shared" si="39"/>
        <v>-11.799999999999272</v>
      </c>
      <c r="AB219" s="146">
        <f t="shared" si="34"/>
        <v>20011.8</v>
      </c>
      <c r="AC219" s="147">
        <f t="shared" si="40"/>
        <v>0</v>
      </c>
      <c r="AD219" s="137">
        <v>0</v>
      </c>
      <c r="AE219" s="138">
        <v>0.17647058823529399</v>
      </c>
      <c r="AF219" s="137">
        <f t="shared" si="35"/>
        <v>0</v>
      </c>
      <c r="AG219" s="137">
        <f t="shared" si="44"/>
        <v>0</v>
      </c>
      <c r="AH219" s="154"/>
      <c r="AI219" s="154"/>
      <c r="AJ219" s="135" t="s">
        <v>46</v>
      </c>
      <c r="AK219" s="119" t="s">
        <v>46</v>
      </c>
      <c r="AM219" s="131" t="s">
        <v>446</v>
      </c>
    </row>
    <row r="220" spans="1:39" s="119" customFormat="1" ht="15" hidden="1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447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7"/>
        <v>0</v>
      </c>
      <c r="U220" s="137">
        <f t="shared" si="41"/>
        <v>36658</v>
      </c>
      <c r="V220" s="137">
        <v>0</v>
      </c>
      <c r="W220" s="137">
        <f t="shared" si="42"/>
        <v>36658</v>
      </c>
      <c r="X220" s="137">
        <f t="shared" si="38"/>
        <v>36658</v>
      </c>
      <c r="Y220" s="137">
        <f t="shared" si="43"/>
        <v>0</v>
      </c>
      <c r="Z220" s="137">
        <v>0</v>
      </c>
      <c r="AA220" s="137">
        <f t="shared" si="39"/>
        <v>0</v>
      </c>
      <c r="AB220" s="146">
        <f t="shared" si="34"/>
        <v>0</v>
      </c>
      <c r="AC220" s="147">
        <f t="shared" si="40"/>
        <v>0</v>
      </c>
      <c r="AD220" s="137">
        <v>0</v>
      </c>
      <c r="AE220" s="138">
        <v>0.17647058823529399</v>
      </c>
      <c r="AF220" s="137">
        <f t="shared" si="35"/>
        <v>0</v>
      </c>
      <c r="AG220" s="137">
        <f t="shared" si="44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hidden="1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7"/>
        <v>0</v>
      </c>
      <c r="U221" s="137">
        <f t="shared" si="41"/>
        <v>48634.5</v>
      </c>
      <c r="V221" s="137">
        <v>61213.5</v>
      </c>
      <c r="W221" s="137">
        <f t="shared" si="42"/>
        <v>-12579</v>
      </c>
      <c r="X221" s="137">
        <f t="shared" si="38"/>
        <v>-12579</v>
      </c>
      <c r="Y221" s="137">
        <f t="shared" si="43"/>
        <v>0</v>
      </c>
      <c r="Z221" s="137">
        <v>36551.9</v>
      </c>
      <c r="AA221" s="137">
        <f t="shared" si="39"/>
        <v>24661.599999999999</v>
      </c>
      <c r="AB221" s="146">
        <f t="shared" si="34"/>
        <v>36551.9</v>
      </c>
      <c r="AC221" s="147">
        <f t="shared" si="40"/>
        <v>0</v>
      </c>
      <c r="AD221" s="137">
        <v>30640.2717039815</v>
      </c>
      <c r="AE221" s="138">
        <v>0.17647058823529399</v>
      </c>
      <c r="AF221" s="137">
        <f t="shared" si="35"/>
        <v>5407.1067712908489</v>
      </c>
      <c r="AG221" s="137">
        <f t="shared" si="44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hidden="1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448</v>
      </c>
      <c r="G222" s="119" t="s">
        <v>448</v>
      </c>
      <c r="H222" s="119" t="s">
        <v>448</v>
      </c>
      <c r="I222" s="131" t="s">
        <v>241</v>
      </c>
      <c r="J222" s="119" t="s">
        <v>242</v>
      </c>
      <c r="K222" s="119" t="s">
        <v>243</v>
      </c>
      <c r="L222" s="119" t="s">
        <v>448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7"/>
        <v>0</v>
      </c>
      <c r="U222" s="137">
        <f t="shared" si="41"/>
        <v>60000</v>
      </c>
      <c r="V222" s="137">
        <v>60000</v>
      </c>
      <c r="W222" s="137">
        <f t="shared" si="42"/>
        <v>0</v>
      </c>
      <c r="X222" s="137">
        <f t="shared" si="38"/>
        <v>0</v>
      </c>
      <c r="Y222" s="137">
        <f t="shared" si="43"/>
        <v>0</v>
      </c>
      <c r="Z222" s="137">
        <v>38635.85</v>
      </c>
      <c r="AA222" s="137">
        <f t="shared" si="39"/>
        <v>21364.15</v>
      </c>
      <c r="AB222" s="146">
        <f t="shared" si="34"/>
        <v>38635.85</v>
      </c>
      <c r="AC222" s="147">
        <f t="shared" si="40"/>
        <v>0</v>
      </c>
      <c r="AD222" s="137">
        <v>32387.179367263299</v>
      </c>
      <c r="AE222" s="138">
        <v>0.17647058823529399</v>
      </c>
      <c r="AF222" s="137">
        <f t="shared" si="35"/>
        <v>5715.3845942229309</v>
      </c>
      <c r="AG222" s="137">
        <f t="shared" si="44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hidden="1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449</v>
      </c>
      <c r="G223" s="119" t="s">
        <v>449</v>
      </c>
      <c r="H223" s="119" t="s">
        <v>449</v>
      </c>
      <c r="I223" s="131" t="s">
        <v>241</v>
      </c>
      <c r="J223" s="119" t="s">
        <v>242</v>
      </c>
      <c r="K223" s="119" t="s">
        <v>243</v>
      </c>
      <c r="L223" s="119" t="s">
        <v>449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7"/>
        <v>0</v>
      </c>
      <c r="U223" s="137">
        <f t="shared" si="41"/>
        <v>20000</v>
      </c>
      <c r="V223" s="137">
        <v>20000</v>
      </c>
      <c r="W223" s="137">
        <f t="shared" si="42"/>
        <v>0</v>
      </c>
      <c r="X223" s="137">
        <f t="shared" si="38"/>
        <v>0</v>
      </c>
      <c r="Y223" s="137">
        <f t="shared" si="43"/>
        <v>0</v>
      </c>
      <c r="Z223" s="137">
        <v>8373.2000000000007</v>
      </c>
      <c r="AA223" s="137">
        <f t="shared" si="39"/>
        <v>11626.8</v>
      </c>
      <c r="AB223" s="146">
        <f t="shared" si="34"/>
        <v>8373.2000000000007</v>
      </c>
      <c r="AC223" s="147">
        <f t="shared" si="40"/>
        <v>0</v>
      </c>
      <c r="AD223" s="137">
        <v>7018.98185954157</v>
      </c>
      <c r="AE223" s="138">
        <v>0.17647058823529399</v>
      </c>
      <c r="AF223" s="137">
        <f t="shared" si="35"/>
        <v>1238.6438575661584</v>
      </c>
      <c r="AG223" s="137">
        <f t="shared" si="44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450</v>
      </c>
      <c r="H224" s="119" t="s">
        <v>450</v>
      </c>
      <c r="I224" s="131" t="s">
        <v>241</v>
      </c>
      <c r="J224" s="119" t="s">
        <v>242</v>
      </c>
      <c r="K224" s="119" t="s">
        <v>243</v>
      </c>
      <c r="L224" s="119" t="s">
        <v>451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7"/>
        <v>0</v>
      </c>
      <c r="U224" s="137">
        <f t="shared" si="41"/>
        <v>270000</v>
      </c>
      <c r="V224" s="137">
        <v>270000</v>
      </c>
      <c r="W224" s="137">
        <f t="shared" si="42"/>
        <v>0</v>
      </c>
      <c r="X224" s="137">
        <f t="shared" si="38"/>
        <v>0</v>
      </c>
      <c r="Y224" s="137">
        <f t="shared" si="43"/>
        <v>0</v>
      </c>
      <c r="Z224" s="137">
        <v>181967.39</v>
      </c>
      <c r="AA224" s="137">
        <f t="shared" si="39"/>
        <v>88032.609999999986</v>
      </c>
      <c r="AB224" s="146">
        <f t="shared" si="34"/>
        <v>181967.39</v>
      </c>
      <c r="AC224" s="147">
        <f t="shared" si="40"/>
        <v>0</v>
      </c>
      <c r="AD224" s="137">
        <v>152537.35840994201</v>
      </c>
      <c r="AE224" s="138">
        <v>0.17647058823529399</v>
      </c>
      <c r="AF224" s="137">
        <f t="shared" si="35"/>
        <v>26918.357366460335</v>
      </c>
      <c r="AG224" s="137">
        <f t="shared" si="44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hidden="1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452</v>
      </c>
      <c r="G225" s="119" t="s">
        <v>452</v>
      </c>
      <c r="H225" s="119" t="s">
        <v>452</v>
      </c>
      <c r="I225" s="131" t="s">
        <v>241</v>
      </c>
      <c r="J225" s="119" t="s">
        <v>242</v>
      </c>
      <c r="K225" s="119" t="s">
        <v>243</v>
      </c>
      <c r="L225" s="119" t="s">
        <v>452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7"/>
        <v>0</v>
      </c>
      <c r="U225" s="137">
        <f t="shared" si="41"/>
        <v>200000</v>
      </c>
      <c r="V225" s="137">
        <v>140000</v>
      </c>
      <c r="W225" s="137">
        <f t="shared" si="42"/>
        <v>60000</v>
      </c>
      <c r="X225" s="137">
        <f t="shared" si="38"/>
        <v>60000</v>
      </c>
      <c r="Y225" s="137">
        <f t="shared" si="43"/>
        <v>0</v>
      </c>
      <c r="Z225" s="137">
        <v>134711.4</v>
      </c>
      <c r="AA225" s="137">
        <f t="shared" si="39"/>
        <v>5288.6000000000058</v>
      </c>
      <c r="AB225" s="146">
        <f t="shared" si="34"/>
        <v>134711.4</v>
      </c>
      <c r="AC225" s="147">
        <f t="shared" si="40"/>
        <v>0</v>
      </c>
      <c r="AD225" s="137">
        <v>112924.19539404901</v>
      </c>
      <c r="AE225" s="138">
        <v>0.17647058823529399</v>
      </c>
      <c r="AF225" s="137">
        <f t="shared" si="35"/>
        <v>19927.799187185105</v>
      </c>
      <c r="AG225" s="137">
        <f t="shared" si="44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hidden="1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7"/>
        <v>0</v>
      </c>
      <c r="U226" s="137">
        <f t="shared" si="41"/>
        <v>50000</v>
      </c>
      <c r="V226" s="137">
        <f>15000-658.5</f>
        <v>14341.5</v>
      </c>
      <c r="W226" s="137">
        <f t="shared" si="42"/>
        <v>35658.5</v>
      </c>
      <c r="X226" s="137">
        <f t="shared" si="38"/>
        <v>35658.5</v>
      </c>
      <c r="Y226" s="137">
        <f t="shared" si="43"/>
        <v>0</v>
      </c>
      <c r="Z226" s="137">
        <v>10050.700000000001</v>
      </c>
      <c r="AA226" s="137">
        <f t="shared" si="39"/>
        <v>4290.7999999999993</v>
      </c>
      <c r="AB226" s="146">
        <f t="shared" si="34"/>
        <v>10050.700000000001</v>
      </c>
      <c r="AC226" s="147">
        <f t="shared" si="40"/>
        <v>0</v>
      </c>
      <c r="AD226" s="137">
        <v>8425.1756766462604</v>
      </c>
      <c r="AE226" s="138">
        <v>0.17647058823529399</v>
      </c>
      <c r="AF226" s="137">
        <f t="shared" si="35"/>
        <v>1486.7957076434566</v>
      </c>
      <c r="AG226" s="137">
        <f t="shared" si="44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hidden="1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7"/>
        <v>0</v>
      </c>
      <c r="U227" s="137">
        <f t="shared" si="41"/>
        <v>211175</v>
      </c>
      <c r="V227" s="137">
        <v>288000</v>
      </c>
      <c r="W227" s="137">
        <f t="shared" si="42"/>
        <v>-76825</v>
      </c>
      <c r="X227" s="137">
        <f t="shared" si="38"/>
        <v>-76825</v>
      </c>
      <c r="Y227" s="137">
        <f t="shared" si="43"/>
        <v>0</v>
      </c>
      <c r="Z227" s="137">
        <v>232214.2</v>
      </c>
      <c r="AA227" s="137">
        <f t="shared" si="39"/>
        <v>55785.799999999988</v>
      </c>
      <c r="AB227" s="146">
        <f t="shared" si="34"/>
        <v>232214.2</v>
      </c>
      <c r="AC227" s="147">
        <f t="shared" si="40"/>
        <v>0</v>
      </c>
      <c r="AD227" s="137">
        <v>194657.62878325599</v>
      </c>
      <c r="AE227" s="138">
        <v>0.17647058823529399</v>
      </c>
      <c r="AF227" s="137">
        <f t="shared" si="35"/>
        <v>34351.346255868681</v>
      </c>
      <c r="AG227" s="137">
        <f t="shared" si="44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hidden="1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453</v>
      </c>
      <c r="G228" s="119" t="s">
        <v>453</v>
      </c>
      <c r="H228" s="119" t="s">
        <v>453</v>
      </c>
      <c r="I228" s="131" t="s">
        <v>241</v>
      </c>
      <c r="J228" s="119" t="s">
        <v>242</v>
      </c>
      <c r="K228" s="119" t="s">
        <v>243</v>
      </c>
      <c r="L228" s="119" t="s">
        <v>453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7"/>
        <v>0</v>
      </c>
      <c r="U228" s="137">
        <f t="shared" si="41"/>
        <v>20000</v>
      </c>
      <c r="V228" s="137">
        <v>20000</v>
      </c>
      <c r="W228" s="137">
        <f t="shared" si="42"/>
        <v>0</v>
      </c>
      <c r="X228" s="137">
        <f t="shared" si="38"/>
        <v>0</v>
      </c>
      <c r="Y228" s="137">
        <f t="shared" si="43"/>
        <v>0</v>
      </c>
      <c r="Z228" s="137">
        <v>14852.9</v>
      </c>
      <c r="AA228" s="137">
        <f t="shared" si="39"/>
        <v>5147.1000000000004</v>
      </c>
      <c r="AB228" s="146">
        <f t="shared" si="34"/>
        <v>14852.9</v>
      </c>
      <c r="AC228" s="147">
        <f t="shared" si="40"/>
        <v>0</v>
      </c>
      <c r="AD228" s="137">
        <v>12450.7041109235</v>
      </c>
      <c r="AE228" s="138">
        <v>0.17647058823529399</v>
      </c>
      <c r="AF228" s="137">
        <f t="shared" si="35"/>
        <v>2197.1830783982632</v>
      </c>
      <c r="AG228" s="137">
        <f t="shared" si="44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7"/>
        <v>0</v>
      </c>
      <c r="U229" s="137">
        <f t="shared" si="41"/>
        <v>113297</v>
      </c>
      <c r="V229" s="137">
        <v>65000</v>
      </c>
      <c r="W229" s="137">
        <f t="shared" si="42"/>
        <v>48297</v>
      </c>
      <c r="X229" s="137">
        <f t="shared" si="38"/>
        <v>48297</v>
      </c>
      <c r="Y229" s="137">
        <f t="shared" si="43"/>
        <v>0</v>
      </c>
      <c r="Z229" s="137">
        <v>24865.5</v>
      </c>
      <c r="AA229" s="137">
        <f t="shared" si="39"/>
        <v>40134.5</v>
      </c>
      <c r="AB229" s="146">
        <f t="shared" ref="AB229:AB292" si="45">IF(O229="返货",Z229/(1+N229),IF(O229="返现",Z229,IF(O229="折扣",Z229*N229,IF(O229="无",Z229))))</f>
        <v>24865.5</v>
      </c>
      <c r="AC229" s="147">
        <f t="shared" si="40"/>
        <v>0</v>
      </c>
      <c r="AD229" s="137">
        <v>20843.941793869799</v>
      </c>
      <c r="AE229" s="138">
        <v>0.17647058823529399</v>
      </c>
      <c r="AF229" s="137">
        <f t="shared" si="35"/>
        <v>3678.3426695064322</v>
      </c>
      <c r="AG229" s="137">
        <f t="shared" si="44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hidden="1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7"/>
        <v>0</v>
      </c>
      <c r="U230" s="137">
        <f t="shared" si="41"/>
        <v>60000</v>
      </c>
      <c r="V230" s="137">
        <v>90000</v>
      </c>
      <c r="W230" s="137">
        <f t="shared" si="42"/>
        <v>-30000</v>
      </c>
      <c r="X230" s="137">
        <f t="shared" si="38"/>
        <v>-30000</v>
      </c>
      <c r="Y230" s="137">
        <f t="shared" si="43"/>
        <v>0</v>
      </c>
      <c r="Z230" s="137">
        <v>63238.5</v>
      </c>
      <c r="AA230" s="137">
        <f t="shared" si="39"/>
        <v>26761.5</v>
      </c>
      <c r="AB230" s="146">
        <f t="shared" si="45"/>
        <v>63238.5</v>
      </c>
      <c r="AC230" s="147">
        <f t="shared" si="40"/>
        <v>0</v>
      </c>
      <c r="AD230" s="137">
        <v>53010.782535305501</v>
      </c>
      <c r="AE230" s="138">
        <v>0.17647058823529399</v>
      </c>
      <c r="AF230" s="137">
        <f t="shared" si="35"/>
        <v>9354.8439768186108</v>
      </c>
      <c r="AG230" s="137">
        <f t="shared" si="44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hidden="1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454</v>
      </c>
      <c r="G231" s="119" t="s">
        <v>454</v>
      </c>
      <c r="H231" s="119" t="s">
        <v>454</v>
      </c>
      <c r="I231" s="131" t="s">
        <v>241</v>
      </c>
      <c r="J231" s="119" t="s">
        <v>242</v>
      </c>
      <c r="K231" s="119" t="s">
        <v>243</v>
      </c>
      <c r="L231" s="119" t="s">
        <v>455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7"/>
        <v>0</v>
      </c>
      <c r="U231" s="137">
        <f t="shared" si="41"/>
        <v>80000</v>
      </c>
      <c r="V231" s="137">
        <v>80000</v>
      </c>
      <c r="W231" s="137">
        <f t="shared" si="42"/>
        <v>0</v>
      </c>
      <c r="X231" s="137">
        <f t="shared" si="38"/>
        <v>0</v>
      </c>
      <c r="Y231" s="137">
        <f t="shared" si="43"/>
        <v>0</v>
      </c>
      <c r="Z231" s="137">
        <f>79999.1+0.9</f>
        <v>80000</v>
      </c>
      <c r="AA231" s="137">
        <f t="shared" si="39"/>
        <v>0</v>
      </c>
      <c r="AB231" s="146">
        <f t="shared" si="45"/>
        <v>80000</v>
      </c>
      <c r="AC231" s="147">
        <f t="shared" si="40"/>
        <v>0</v>
      </c>
      <c r="AD231" s="137">
        <v>67060.649653615401</v>
      </c>
      <c r="AE231" s="138">
        <v>0.17647058823529399</v>
      </c>
      <c r="AF231" s="137">
        <f t="shared" si="35"/>
        <v>11834.232291814475</v>
      </c>
      <c r="AG231" s="137">
        <f t="shared" si="44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hidden="1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7"/>
        <v>1771.4488000000001</v>
      </c>
      <c r="U232" s="137">
        <f t="shared" si="41"/>
        <v>90343.888800000001</v>
      </c>
      <c r="V232" s="137">
        <v>1</v>
      </c>
      <c r="W232" s="137">
        <f t="shared" si="42"/>
        <v>90342.888800000001</v>
      </c>
      <c r="X232" s="137">
        <f t="shared" si="38"/>
        <v>88571.459607843135</v>
      </c>
      <c r="Y232" s="137">
        <f t="shared" si="43"/>
        <v>1771.4291921568656</v>
      </c>
      <c r="Z232" s="137">
        <v>0</v>
      </c>
      <c r="AA232" s="137">
        <f t="shared" si="39"/>
        <v>1</v>
      </c>
      <c r="AB232" s="146">
        <f t="shared" si="45"/>
        <v>0</v>
      </c>
      <c r="AC232" s="147">
        <f t="shared" si="40"/>
        <v>0</v>
      </c>
      <c r="AD232" s="137">
        <v>0</v>
      </c>
      <c r="AE232" s="138">
        <v>0.17647058823529399</v>
      </c>
      <c r="AF232" s="137">
        <f t="shared" si="35"/>
        <v>0</v>
      </c>
      <c r="AG232" s="137">
        <f t="shared" si="44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hidden="1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456</v>
      </c>
      <c r="G233" s="119" t="s">
        <v>456</v>
      </c>
      <c r="H233" s="119" t="s">
        <v>456</v>
      </c>
      <c r="I233" s="131" t="s">
        <v>241</v>
      </c>
      <c r="J233" s="119" t="s">
        <v>242</v>
      </c>
      <c r="K233" s="119" t="s">
        <v>243</v>
      </c>
      <c r="L233" s="119" t="s">
        <v>456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7"/>
        <v>0</v>
      </c>
      <c r="U233" s="137">
        <f t="shared" si="41"/>
        <v>650000</v>
      </c>
      <c r="V233" s="137">
        <v>600000</v>
      </c>
      <c r="W233" s="137">
        <f t="shared" si="42"/>
        <v>50000</v>
      </c>
      <c r="X233" s="137">
        <f t="shared" si="38"/>
        <v>50000</v>
      </c>
      <c r="Y233" s="137">
        <f t="shared" si="43"/>
        <v>0</v>
      </c>
      <c r="Z233" s="137">
        <v>555154.75</v>
      </c>
      <c r="AA233" s="137">
        <f t="shared" si="39"/>
        <v>44845.25</v>
      </c>
      <c r="AB233" s="146">
        <f t="shared" si="45"/>
        <v>555154.75</v>
      </c>
      <c r="AC233" s="147">
        <f t="shared" si="40"/>
        <v>0</v>
      </c>
      <c r="AD233" s="137">
        <v>465368.21280852403</v>
      </c>
      <c r="AE233" s="138">
        <v>0.17647058823529399</v>
      </c>
      <c r="AF233" s="137">
        <f t="shared" si="35"/>
        <v>82123.802260327706</v>
      </c>
      <c r="AG233" s="137">
        <f t="shared" si="44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457</v>
      </c>
      <c r="G234" s="119" t="s">
        <v>457</v>
      </c>
      <c r="H234" s="119" t="s">
        <v>457</v>
      </c>
      <c r="I234" s="131" t="s">
        <v>241</v>
      </c>
      <c r="J234" s="119" t="s">
        <v>242</v>
      </c>
      <c r="K234" s="119" t="s">
        <v>243</v>
      </c>
      <c r="L234" s="119" t="s">
        <v>458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7"/>
        <v>1795.1851999999999</v>
      </c>
      <c r="U234" s="137">
        <f t="shared" si="41"/>
        <v>91554.445199999987</v>
      </c>
      <c r="V234" s="137">
        <v>70000</v>
      </c>
      <c r="W234" s="137">
        <f t="shared" si="42"/>
        <v>21554.445199999987</v>
      </c>
      <c r="X234" s="137">
        <f t="shared" si="38"/>
        <v>21131.80901960783</v>
      </c>
      <c r="Y234" s="137">
        <f t="shared" si="43"/>
        <v>422.63618039215726</v>
      </c>
      <c r="Z234" s="137">
        <v>14635.4</v>
      </c>
      <c r="AA234" s="137">
        <f t="shared" si="39"/>
        <v>55364.6</v>
      </c>
      <c r="AB234" s="146">
        <f t="shared" si="45"/>
        <v>14348.431372549019</v>
      </c>
      <c r="AC234" s="147">
        <f t="shared" si="40"/>
        <v>286.96862745098042</v>
      </c>
      <c r="AD234" s="137">
        <v>12268.3809185419</v>
      </c>
      <c r="AE234" s="138">
        <v>0.17647058823529399</v>
      </c>
      <c r="AF234" s="137">
        <f t="shared" si="35"/>
        <v>2165.0083973897454</v>
      </c>
      <c r="AG234" s="137">
        <f t="shared" si="44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hidden="1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7"/>
        <v>0</v>
      </c>
      <c r="U235" s="137">
        <f t="shared" si="41"/>
        <v>30654</v>
      </c>
      <c r="V235" s="137">
        <v>35000</v>
      </c>
      <c r="W235" s="137">
        <f t="shared" si="42"/>
        <v>-4346</v>
      </c>
      <c r="X235" s="137">
        <f t="shared" si="38"/>
        <v>-4346</v>
      </c>
      <c r="Y235" s="137">
        <f t="shared" si="43"/>
        <v>0</v>
      </c>
      <c r="Z235" s="137">
        <v>20195.599999999999</v>
      </c>
      <c r="AA235" s="137">
        <f t="shared" si="39"/>
        <v>14804.400000000001</v>
      </c>
      <c r="AB235" s="146">
        <f t="shared" si="45"/>
        <v>20195.599999999999</v>
      </c>
      <c r="AC235" s="147">
        <f t="shared" si="40"/>
        <v>0</v>
      </c>
      <c r="AD235" s="137">
        <v>16929.316156613699</v>
      </c>
      <c r="AE235" s="138">
        <v>0.17647058823529399</v>
      </c>
      <c r="AF235" s="137">
        <f t="shared" si="35"/>
        <v>2987.5263805788859</v>
      </c>
      <c r="AG235" s="137">
        <f t="shared" ref="AG235:AG251" si="46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hidden="1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459</v>
      </c>
      <c r="G236" s="119" t="s">
        <v>459</v>
      </c>
      <c r="H236" s="119" t="s">
        <v>459</v>
      </c>
      <c r="I236" s="131" t="s">
        <v>241</v>
      </c>
      <c r="J236" s="119" t="s">
        <v>242</v>
      </c>
      <c r="K236" s="119" t="s">
        <v>243</v>
      </c>
      <c r="L236" s="119" t="s">
        <v>459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7"/>
        <v>0</v>
      </c>
      <c r="U236" s="137">
        <f t="shared" si="41"/>
        <v>50000</v>
      </c>
      <c r="V236" s="137">
        <v>50000</v>
      </c>
      <c r="W236" s="137">
        <f t="shared" si="42"/>
        <v>0</v>
      </c>
      <c r="X236" s="137">
        <f t="shared" si="38"/>
        <v>0</v>
      </c>
      <c r="Y236" s="137">
        <f t="shared" si="43"/>
        <v>0</v>
      </c>
      <c r="Z236" s="137">
        <v>50000</v>
      </c>
      <c r="AA236" s="137">
        <f t="shared" si="39"/>
        <v>0</v>
      </c>
      <c r="AB236" s="146">
        <f t="shared" si="45"/>
        <v>50000</v>
      </c>
      <c r="AC236" s="147">
        <f t="shared" si="40"/>
        <v>0</v>
      </c>
      <c r="AD236" s="137">
        <v>41913.377559007102</v>
      </c>
      <c r="AE236" s="138">
        <v>0.17647058823529399</v>
      </c>
      <c r="AF236" s="137">
        <f t="shared" si="35"/>
        <v>7396.4783927659537</v>
      </c>
      <c r="AG236" s="137">
        <f t="shared" si="46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hidden="1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460</v>
      </c>
      <c r="G237" s="119" t="s">
        <v>460</v>
      </c>
      <c r="H237" s="119" t="s">
        <v>460</v>
      </c>
      <c r="I237" s="131" t="s">
        <v>241</v>
      </c>
      <c r="J237" s="119" t="s">
        <v>242</v>
      </c>
      <c r="K237" s="119" t="s">
        <v>243</v>
      </c>
      <c r="L237" s="119" t="s">
        <v>460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7"/>
        <v>0</v>
      </c>
      <c r="U237" s="137">
        <f t="shared" si="41"/>
        <v>36000</v>
      </c>
      <c r="V237" s="137">
        <v>36000</v>
      </c>
      <c r="W237" s="137">
        <f t="shared" si="42"/>
        <v>0</v>
      </c>
      <c r="X237" s="137">
        <f t="shared" si="38"/>
        <v>0</v>
      </c>
      <c r="Y237" s="137">
        <f t="shared" si="43"/>
        <v>0</v>
      </c>
      <c r="Z237" s="137">
        <v>4403.97</v>
      </c>
      <c r="AA237" s="137">
        <f t="shared" si="39"/>
        <v>31596.03</v>
      </c>
      <c r="AB237" s="146">
        <f t="shared" si="45"/>
        <v>4403.97</v>
      </c>
      <c r="AC237" s="147">
        <f t="shared" si="40"/>
        <v>0</v>
      </c>
      <c r="AD237" s="137">
        <v>3691.7051473708102</v>
      </c>
      <c r="AE237" s="138">
        <v>0.17647058823529399</v>
      </c>
      <c r="AF237" s="137">
        <f t="shared" si="35"/>
        <v>651.47737894778959</v>
      </c>
      <c r="AG237" s="137">
        <f t="shared" si="46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hidden="1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461</v>
      </c>
      <c r="G238" s="119" t="s">
        <v>461</v>
      </c>
      <c r="H238" s="119" t="s">
        <v>461</v>
      </c>
      <c r="I238" s="131" t="s">
        <v>241</v>
      </c>
      <c r="J238" s="119" t="s">
        <v>242</v>
      </c>
      <c r="K238" s="119" t="s">
        <v>243</v>
      </c>
      <c r="L238" s="119" t="s">
        <v>461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7"/>
        <v>0</v>
      </c>
      <c r="U238" s="137">
        <f t="shared" si="41"/>
        <v>130000</v>
      </c>
      <c r="V238" s="137">
        <v>100000</v>
      </c>
      <c r="W238" s="137">
        <f t="shared" si="42"/>
        <v>30000</v>
      </c>
      <c r="X238" s="137">
        <f t="shared" si="38"/>
        <v>30000</v>
      </c>
      <c r="Y238" s="137">
        <f t="shared" si="43"/>
        <v>0</v>
      </c>
      <c r="Z238" s="137">
        <v>83696.87</v>
      </c>
      <c r="AA238" s="137">
        <f t="shared" si="39"/>
        <v>16303.130000000005</v>
      </c>
      <c r="AB238" s="146">
        <f t="shared" si="45"/>
        <v>83696.87</v>
      </c>
      <c r="AC238" s="147">
        <f t="shared" si="40"/>
        <v>0</v>
      </c>
      <c r="AD238" s="137">
        <v>70160.370256342794</v>
      </c>
      <c r="AE238" s="138">
        <v>0.17647058823529399</v>
      </c>
      <c r="AF238" s="137">
        <f t="shared" si="35"/>
        <v>12381.241809942838</v>
      </c>
      <c r="AG238" s="137">
        <f t="shared" si="46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hidden="1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462</v>
      </c>
      <c r="G239" s="119" t="s">
        <v>462</v>
      </c>
      <c r="H239" s="119" t="s">
        <v>462</v>
      </c>
      <c r="I239" s="131" t="s">
        <v>241</v>
      </c>
      <c r="J239" s="119" t="s">
        <v>242</v>
      </c>
      <c r="K239" s="119" t="s">
        <v>243</v>
      </c>
      <c r="L239" s="119" t="s">
        <v>462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7"/>
        <v>0</v>
      </c>
      <c r="U239" s="137">
        <f t="shared" si="41"/>
        <v>70000</v>
      </c>
      <c r="V239" s="137">
        <v>70000</v>
      </c>
      <c r="W239" s="137">
        <f t="shared" si="42"/>
        <v>0</v>
      </c>
      <c r="X239" s="137">
        <f t="shared" si="38"/>
        <v>0</v>
      </c>
      <c r="Y239" s="137">
        <f t="shared" si="43"/>
        <v>0</v>
      </c>
      <c r="Z239" s="137">
        <v>49323.8</v>
      </c>
      <c r="AA239" s="137">
        <f t="shared" si="39"/>
        <v>20676.199999999997</v>
      </c>
      <c r="AB239" s="146">
        <f t="shared" si="45"/>
        <v>49323.8</v>
      </c>
      <c r="AC239" s="147">
        <f t="shared" si="40"/>
        <v>0</v>
      </c>
      <c r="AD239" s="137">
        <v>41346.541040899101</v>
      </c>
      <c r="AE239" s="138">
        <v>0.17647058823529399</v>
      </c>
      <c r="AF239" s="137">
        <f t="shared" ref="AF239:AF302" si="47">AD239*AE239</f>
        <v>7296.4484189821887</v>
      </c>
      <c r="AG239" s="137">
        <f t="shared" si="46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hidden="1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7"/>
        <v>0</v>
      </c>
      <c r="U240" s="137">
        <f t="shared" si="41"/>
        <v>9152</v>
      </c>
      <c r="V240" s="137">
        <v>15000</v>
      </c>
      <c r="W240" s="137">
        <f t="shared" si="42"/>
        <v>-5848</v>
      </c>
      <c r="X240" s="137">
        <f t="shared" si="38"/>
        <v>-5848</v>
      </c>
      <c r="Y240" s="137">
        <f t="shared" si="43"/>
        <v>0</v>
      </c>
      <c r="Z240" s="137">
        <v>7596</v>
      </c>
      <c r="AA240" s="137">
        <f t="shared" si="39"/>
        <v>7404</v>
      </c>
      <c r="AB240" s="146">
        <f t="shared" si="45"/>
        <v>7596</v>
      </c>
      <c r="AC240" s="147">
        <f t="shared" si="40"/>
        <v>0</v>
      </c>
      <c r="AD240" s="137">
        <v>6367.4803187643702</v>
      </c>
      <c r="AE240" s="138">
        <v>0.17647058823529399</v>
      </c>
      <c r="AF240" s="137">
        <f t="shared" si="47"/>
        <v>1123.6729974290056</v>
      </c>
      <c r="AG240" s="137">
        <f t="shared" si="46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hidden="1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463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7"/>
        <v>0</v>
      </c>
      <c r="U241" s="137">
        <f t="shared" si="41"/>
        <v>20000</v>
      </c>
      <c r="V241" s="137">
        <v>20000</v>
      </c>
      <c r="W241" s="137">
        <f t="shared" si="42"/>
        <v>0</v>
      </c>
      <c r="X241" s="137">
        <f t="shared" si="38"/>
        <v>0</v>
      </c>
      <c r="Y241" s="137">
        <f t="shared" si="43"/>
        <v>0</v>
      </c>
      <c r="Z241" s="137">
        <v>7837.26</v>
      </c>
      <c r="AA241" s="137">
        <f t="shared" si="39"/>
        <v>12162.74</v>
      </c>
      <c r="AB241" s="146">
        <f t="shared" si="45"/>
        <v>7837.26</v>
      </c>
      <c r="AC241" s="147">
        <f t="shared" si="40"/>
        <v>0</v>
      </c>
      <c r="AD241" s="137">
        <v>6569.7207481620899</v>
      </c>
      <c r="AE241" s="138">
        <v>0.17647058823529399</v>
      </c>
      <c r="AF241" s="137">
        <f t="shared" si="47"/>
        <v>1159.3624849697796</v>
      </c>
      <c r="AG241" s="137">
        <f t="shared" si="46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hidden="1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7"/>
        <v>0</v>
      </c>
      <c r="U242" s="137">
        <f t="shared" si="41"/>
        <v>30000</v>
      </c>
      <c r="V242" s="137">
        <v>39530</v>
      </c>
      <c r="W242" s="137">
        <f t="shared" si="42"/>
        <v>-9530</v>
      </c>
      <c r="X242" s="137">
        <f t="shared" si="38"/>
        <v>-9530</v>
      </c>
      <c r="Y242" s="137">
        <f t="shared" si="43"/>
        <v>0</v>
      </c>
      <c r="Z242" s="137">
        <v>35437.660000000003</v>
      </c>
      <c r="AA242" s="137">
        <f t="shared" si="39"/>
        <v>4092.3399999999965</v>
      </c>
      <c r="AB242" s="146">
        <f t="shared" si="45"/>
        <v>35437.660000000003</v>
      </c>
      <c r="AC242" s="147">
        <f t="shared" si="40"/>
        <v>0</v>
      </c>
      <c r="AD242" s="137">
        <v>29706.240467754498</v>
      </c>
      <c r="AE242" s="138">
        <v>0.17647058823529399</v>
      </c>
      <c r="AF242" s="137">
        <f t="shared" si="47"/>
        <v>5242.2777296037311</v>
      </c>
      <c r="AG242" s="137">
        <f t="shared" si="46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hidden="1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464</v>
      </c>
      <c r="G243" s="119" t="s">
        <v>464</v>
      </c>
      <c r="H243" s="119" t="s">
        <v>464</v>
      </c>
      <c r="I243" s="131" t="s">
        <v>241</v>
      </c>
      <c r="J243" s="119" t="s">
        <v>242</v>
      </c>
      <c r="K243" s="119" t="s">
        <v>243</v>
      </c>
      <c r="L243" s="119" t="s">
        <v>464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7"/>
        <v>0</v>
      </c>
      <c r="U243" s="137">
        <f t="shared" si="41"/>
        <v>20000</v>
      </c>
      <c r="V243" s="137">
        <v>20000</v>
      </c>
      <c r="W243" s="137">
        <f t="shared" si="42"/>
        <v>0</v>
      </c>
      <c r="X243" s="137">
        <f t="shared" si="38"/>
        <v>0</v>
      </c>
      <c r="Y243" s="137">
        <f t="shared" si="43"/>
        <v>0</v>
      </c>
      <c r="Z243" s="137">
        <v>10206.98</v>
      </c>
      <c r="AA243" s="137">
        <f t="shared" si="39"/>
        <v>9793.02</v>
      </c>
      <c r="AB243" s="146">
        <f t="shared" si="45"/>
        <v>10206.98</v>
      </c>
      <c r="AC243" s="147">
        <f t="shared" si="40"/>
        <v>0</v>
      </c>
      <c r="AD243" s="137">
        <v>8556.1801295446894</v>
      </c>
      <c r="AE243" s="138">
        <v>0.17647058823529399</v>
      </c>
      <c r="AF243" s="137">
        <f t="shared" si="47"/>
        <v>1509.9141405078853</v>
      </c>
      <c r="AG243" s="137">
        <f t="shared" si="46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hidden="1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1665</v>
      </c>
      <c r="Q244" s="137">
        <v>0</v>
      </c>
      <c r="R244" s="137">
        <v>0</v>
      </c>
      <c r="S244" s="137">
        <v>97162</v>
      </c>
      <c r="T244" s="137">
        <f t="shared" si="37"/>
        <v>0</v>
      </c>
      <c r="U244" s="137">
        <f t="shared" si="41"/>
        <v>97162</v>
      </c>
      <c r="V244" s="137">
        <v>97162</v>
      </c>
      <c r="W244" s="137">
        <f t="shared" si="42"/>
        <v>0</v>
      </c>
      <c r="X244" s="137">
        <f t="shared" si="38"/>
        <v>0</v>
      </c>
      <c r="Y244" s="137">
        <f t="shared" si="43"/>
        <v>0</v>
      </c>
      <c r="Z244" s="137">
        <v>81511.990000000005</v>
      </c>
      <c r="AA244" s="137">
        <f t="shared" si="39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40"/>
        <v>-10988.910000000003</v>
      </c>
      <c r="AD244" s="137">
        <v>68328.856249120305</v>
      </c>
      <c r="AE244" s="138">
        <v>0.17647058823529399</v>
      </c>
      <c r="AF244" s="137">
        <f t="shared" si="47"/>
        <v>12058.033455727104</v>
      </c>
      <c r="AG244" s="137">
        <f t="shared" si="46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hidden="1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7"/>
        <v>0</v>
      </c>
      <c r="U245" s="137">
        <f t="shared" si="41"/>
        <v>61145</v>
      </c>
      <c r="V245" s="137">
        <v>79541</v>
      </c>
      <c r="W245" s="137">
        <f t="shared" si="42"/>
        <v>-18396</v>
      </c>
      <c r="X245" s="137">
        <f t="shared" si="38"/>
        <v>-18396</v>
      </c>
      <c r="Y245" s="137">
        <f t="shared" si="43"/>
        <v>0</v>
      </c>
      <c r="Z245" s="137">
        <v>61888.11</v>
      </c>
      <c r="AA245" s="137">
        <f t="shared" si="39"/>
        <v>17652.89</v>
      </c>
      <c r="AB245" s="146">
        <f t="shared" si="45"/>
        <v>61888.11</v>
      </c>
      <c r="AC245" s="147">
        <f t="shared" si="40"/>
        <v>0</v>
      </c>
      <c r="AD245" s="137">
        <v>51878.794416867298</v>
      </c>
      <c r="AE245" s="138">
        <v>0.17647058823529399</v>
      </c>
      <c r="AF245" s="137">
        <f t="shared" si="47"/>
        <v>9155.0813676824582</v>
      </c>
      <c r="AG245" s="137">
        <f t="shared" si="46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hidden="1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465</v>
      </c>
      <c r="F246" s="119" t="s">
        <v>466</v>
      </c>
      <c r="G246" s="119" t="s">
        <v>466</v>
      </c>
      <c r="H246" s="119" t="s">
        <v>466</v>
      </c>
      <c r="I246" s="131" t="s">
        <v>241</v>
      </c>
      <c r="J246" s="119" t="s">
        <v>242</v>
      </c>
      <c r="K246" s="119" t="s">
        <v>243</v>
      </c>
      <c r="L246" s="119" t="s">
        <v>466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7"/>
        <v>0</v>
      </c>
      <c r="U246" s="137">
        <f t="shared" si="41"/>
        <v>20000</v>
      </c>
      <c r="V246" s="137">
        <v>20000</v>
      </c>
      <c r="W246" s="137">
        <f t="shared" si="42"/>
        <v>0</v>
      </c>
      <c r="X246" s="137">
        <f t="shared" si="38"/>
        <v>0</v>
      </c>
      <c r="Y246" s="137">
        <f t="shared" si="43"/>
        <v>0</v>
      </c>
      <c r="Z246" s="137">
        <v>1596.67</v>
      </c>
      <c r="AA246" s="137">
        <f t="shared" si="39"/>
        <v>18403.330000000002</v>
      </c>
      <c r="AB246" s="146">
        <f t="shared" si="45"/>
        <v>1596.67</v>
      </c>
      <c r="AC246" s="147">
        <f t="shared" si="40"/>
        <v>0</v>
      </c>
      <c r="AD246" s="137">
        <v>1338.4366509428</v>
      </c>
      <c r="AE246" s="138">
        <v>0.17647058823529399</v>
      </c>
      <c r="AF246" s="137">
        <f t="shared" si="47"/>
        <v>236.19470310755278</v>
      </c>
      <c r="AG246" s="137">
        <f t="shared" si="46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hidden="1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465</v>
      </c>
      <c r="F247" s="119" t="s">
        <v>467</v>
      </c>
      <c r="G247" s="119" t="s">
        <v>467</v>
      </c>
      <c r="H247" s="119" t="s">
        <v>467</v>
      </c>
      <c r="I247" s="131" t="s">
        <v>241</v>
      </c>
      <c r="J247" s="119" t="s">
        <v>242</v>
      </c>
      <c r="K247" s="119" t="s">
        <v>243</v>
      </c>
      <c r="L247" s="119" t="s">
        <v>467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7"/>
        <v>0</v>
      </c>
      <c r="U247" s="137">
        <f t="shared" si="41"/>
        <v>20000</v>
      </c>
      <c r="V247" s="137">
        <v>20000</v>
      </c>
      <c r="W247" s="137">
        <f t="shared" si="42"/>
        <v>0</v>
      </c>
      <c r="X247" s="137">
        <f t="shared" si="38"/>
        <v>0</v>
      </c>
      <c r="Y247" s="137">
        <f t="shared" si="43"/>
        <v>0</v>
      </c>
      <c r="Z247" s="137">
        <v>3082.59</v>
      </c>
      <c r="AA247" s="137">
        <f t="shared" si="39"/>
        <v>16917.41</v>
      </c>
      <c r="AB247" s="146">
        <f t="shared" si="45"/>
        <v>3082.59</v>
      </c>
      <c r="AC247" s="147">
        <f t="shared" si="40"/>
        <v>0</v>
      </c>
      <c r="AD247" s="137">
        <v>2584.0351705923999</v>
      </c>
      <c r="AE247" s="138">
        <v>0.17647058823529399</v>
      </c>
      <c r="AF247" s="137">
        <f t="shared" si="47"/>
        <v>456.00620657512906</v>
      </c>
      <c r="AG247" s="137">
        <f t="shared" si="46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hidden="1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7"/>
        <v>0</v>
      </c>
      <c r="U248" s="137">
        <f t="shared" si="41"/>
        <v>1461899</v>
      </c>
      <c r="V248" s="137">
        <v>1394500</v>
      </c>
      <c r="W248" s="137">
        <f t="shared" si="42"/>
        <v>67399</v>
      </c>
      <c r="X248" s="137">
        <f t="shared" si="38"/>
        <v>67399</v>
      </c>
      <c r="Y248" s="137">
        <f t="shared" si="43"/>
        <v>0</v>
      </c>
      <c r="Z248" s="137">
        <v>1279170.28</v>
      </c>
      <c r="AA248" s="137">
        <f t="shared" si="39"/>
        <v>115329.71999999997</v>
      </c>
      <c r="AB248" s="146">
        <f t="shared" si="45"/>
        <v>1279170.28</v>
      </c>
      <c r="AC248" s="147">
        <f t="shared" si="40"/>
        <v>0</v>
      </c>
      <c r="AD248" s="137">
        <v>1072286.9381580199</v>
      </c>
      <c r="AE248" s="138">
        <v>0.17647058823529399</v>
      </c>
      <c r="AF248" s="137">
        <f t="shared" si="47"/>
        <v>189227.10673376807</v>
      </c>
      <c r="AG248" s="137">
        <f t="shared" si="46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hidden="1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468</v>
      </c>
      <c r="G249" s="119" t="s">
        <v>468</v>
      </c>
      <c r="H249" s="119" t="s">
        <v>468</v>
      </c>
      <c r="I249" s="131" t="s">
        <v>241</v>
      </c>
      <c r="J249" s="119" t="s">
        <v>242</v>
      </c>
      <c r="K249" s="119" t="s">
        <v>243</v>
      </c>
      <c r="L249" s="119" t="s">
        <v>469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7"/>
        <v>0</v>
      </c>
      <c r="U249" s="137">
        <f t="shared" si="41"/>
        <v>20000</v>
      </c>
      <c r="V249" s="137">
        <v>20000</v>
      </c>
      <c r="W249" s="137">
        <f t="shared" si="42"/>
        <v>0</v>
      </c>
      <c r="X249" s="137">
        <f t="shared" si="38"/>
        <v>0</v>
      </c>
      <c r="Y249" s="137">
        <f t="shared" si="43"/>
        <v>0</v>
      </c>
      <c r="Z249" s="137">
        <v>12055.44</v>
      </c>
      <c r="AA249" s="137">
        <f t="shared" si="39"/>
        <v>7944.5599999999995</v>
      </c>
      <c r="AB249" s="146">
        <f t="shared" si="45"/>
        <v>12055.44</v>
      </c>
      <c r="AC249" s="147">
        <f t="shared" si="40"/>
        <v>0</v>
      </c>
      <c r="AD249" s="137">
        <v>10105.684167199101</v>
      </c>
      <c r="AE249" s="138">
        <v>0.17647058823529399</v>
      </c>
      <c r="AF249" s="137">
        <f t="shared" si="47"/>
        <v>1783.3560295057223</v>
      </c>
      <c r="AG249" s="137">
        <f t="shared" si="46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470</v>
      </c>
      <c r="G250" s="119" t="s">
        <v>470</v>
      </c>
      <c r="H250" s="119" t="s">
        <v>470</v>
      </c>
      <c r="I250" s="131" t="s">
        <v>241</v>
      </c>
      <c r="J250" s="119" t="s">
        <v>242</v>
      </c>
      <c r="K250" s="119" t="s">
        <v>243</v>
      </c>
      <c r="L250" s="119" t="s">
        <v>470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7"/>
        <v>0</v>
      </c>
      <c r="U250" s="137">
        <f t="shared" si="41"/>
        <v>60000</v>
      </c>
      <c r="V250" s="137">
        <v>60000</v>
      </c>
      <c r="W250" s="137">
        <f t="shared" si="42"/>
        <v>0</v>
      </c>
      <c r="X250" s="137">
        <f t="shared" si="38"/>
        <v>0</v>
      </c>
      <c r="Y250" s="137">
        <f t="shared" si="43"/>
        <v>0</v>
      </c>
      <c r="Z250" s="137">
        <v>54423.72</v>
      </c>
      <c r="AA250" s="137">
        <f t="shared" si="39"/>
        <v>5576.2799999999988</v>
      </c>
      <c r="AB250" s="146">
        <f t="shared" si="45"/>
        <v>54423.72</v>
      </c>
      <c r="AC250" s="147">
        <f t="shared" si="40"/>
        <v>0</v>
      </c>
      <c r="AD250" s="137">
        <v>45621.638490513797</v>
      </c>
      <c r="AE250" s="138">
        <v>0.17647058823529399</v>
      </c>
      <c r="AF250" s="137">
        <f t="shared" si="47"/>
        <v>8050.8773806788995</v>
      </c>
      <c r="AG250" s="137">
        <f t="shared" si="46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hidden="1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7"/>
        <v>0</v>
      </c>
      <c r="U251" s="137">
        <f t="shared" si="41"/>
        <v>66360.479999999996</v>
      </c>
      <c r="V251" s="137">
        <v>75000</v>
      </c>
      <c r="W251" s="137">
        <f t="shared" si="42"/>
        <v>-8639.5200000000041</v>
      </c>
      <c r="X251" s="137">
        <f t="shared" si="38"/>
        <v>-8639.5200000000041</v>
      </c>
      <c r="Y251" s="137">
        <f t="shared" si="43"/>
        <v>0</v>
      </c>
      <c r="Z251" s="137">
        <v>50647.16</v>
      </c>
      <c r="AA251" s="137">
        <f t="shared" si="39"/>
        <v>24352.839999999997</v>
      </c>
      <c r="AB251" s="146">
        <f t="shared" si="45"/>
        <v>50647.16</v>
      </c>
      <c r="AC251" s="147">
        <f t="shared" si="40"/>
        <v>0</v>
      </c>
      <c r="AD251" s="137">
        <v>42455.870787428903</v>
      </c>
      <c r="AE251" s="138">
        <v>0.17647058823529399</v>
      </c>
      <c r="AF251" s="137">
        <f t="shared" si="47"/>
        <v>7492.2124918992131</v>
      </c>
      <c r="AG251" s="137">
        <f t="shared" si="46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hidden="1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7"/>
        <v>0</v>
      </c>
      <c r="U252" s="137">
        <f t="shared" si="41"/>
        <v>0</v>
      </c>
      <c r="V252" s="137">
        <v>0</v>
      </c>
      <c r="W252" s="137">
        <f t="shared" si="42"/>
        <v>0</v>
      </c>
      <c r="X252" s="137">
        <f t="shared" si="38"/>
        <v>0</v>
      </c>
      <c r="Y252" s="137">
        <f t="shared" si="43"/>
        <v>0</v>
      </c>
      <c r="Z252" s="137">
        <v>276615</v>
      </c>
      <c r="AA252" s="137">
        <f t="shared" si="39"/>
        <v>-276615</v>
      </c>
      <c r="AB252" s="146">
        <f t="shared" si="45"/>
        <v>276615</v>
      </c>
      <c r="AC252" s="147">
        <f t="shared" si="40"/>
        <v>0</v>
      </c>
      <c r="AD252" s="137">
        <v>231877.378669695</v>
      </c>
      <c r="AE252" s="138">
        <v>0.17647058823529399</v>
      </c>
      <c r="AF252" s="137">
        <f t="shared" si="47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hidden="1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7"/>
        <v>0</v>
      </c>
      <c r="U253" s="137">
        <f t="shared" si="41"/>
        <v>180000</v>
      </c>
      <c r="V253" s="137">
        <v>195000</v>
      </c>
      <c r="W253" s="137">
        <f t="shared" si="42"/>
        <v>-15000</v>
      </c>
      <c r="X253" s="137">
        <f t="shared" si="38"/>
        <v>-15000</v>
      </c>
      <c r="Y253" s="137">
        <f t="shared" si="43"/>
        <v>0</v>
      </c>
      <c r="Z253" s="137">
        <v>156422.37</v>
      </c>
      <c r="AA253" s="137">
        <f t="shared" si="39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40"/>
        <v>295.5</v>
      </c>
      <c r="AD253" s="137">
        <v>131123.797049694</v>
      </c>
      <c r="AE253" s="138">
        <v>0.17647058823529399</v>
      </c>
      <c r="AF253" s="137">
        <f t="shared" si="47"/>
        <v>23139.493597004806</v>
      </c>
      <c r="AG253" s="137">
        <f t="shared" ref="AG253:AG278" si="48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7"/>
        <v>0</v>
      </c>
      <c r="U254" s="137">
        <f t="shared" si="41"/>
        <v>6610.5</v>
      </c>
      <c r="V254" s="137">
        <v>27000</v>
      </c>
      <c r="W254" s="137">
        <f t="shared" si="42"/>
        <v>-20389.5</v>
      </c>
      <c r="X254" s="137">
        <f t="shared" si="38"/>
        <v>-20389.5</v>
      </c>
      <c r="Y254" s="137">
        <f t="shared" si="43"/>
        <v>0</v>
      </c>
      <c r="Z254" s="137">
        <v>6610.5</v>
      </c>
      <c r="AA254" s="137">
        <f t="shared" si="39"/>
        <v>20389.5</v>
      </c>
      <c r="AB254" s="146">
        <f t="shared" si="45"/>
        <v>6610.5</v>
      </c>
      <c r="AC254" s="147">
        <f t="shared" si="40"/>
        <v>0</v>
      </c>
      <c r="AD254" s="137">
        <v>5541.3676470763303</v>
      </c>
      <c r="AE254" s="138">
        <v>0.17647058823529399</v>
      </c>
      <c r="AF254" s="137">
        <f t="shared" si="47"/>
        <v>977.88840830758704</v>
      </c>
      <c r="AG254" s="137">
        <f t="shared" si="48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hidden="1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471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7"/>
        <v>0</v>
      </c>
      <c r="U255" s="137">
        <f t="shared" si="41"/>
        <v>1096000</v>
      </c>
      <c r="V255" s="137">
        <v>1675765.5</v>
      </c>
      <c r="W255" s="137">
        <f t="shared" si="42"/>
        <v>-579765.5</v>
      </c>
      <c r="X255" s="137">
        <f t="shared" si="38"/>
        <v>-579765.5</v>
      </c>
      <c r="Y255" s="137">
        <f t="shared" si="43"/>
        <v>0</v>
      </c>
      <c r="Z255" s="137">
        <v>1532696.5</v>
      </c>
      <c r="AA255" s="137">
        <f t="shared" si="39"/>
        <v>143069</v>
      </c>
      <c r="AB255" s="146">
        <f t="shared" si="45"/>
        <v>1532696.5</v>
      </c>
      <c r="AC255" s="147">
        <f t="shared" si="40"/>
        <v>0</v>
      </c>
      <c r="AD255" s="137">
        <v>1284809.7417573801</v>
      </c>
      <c r="AE255" s="138">
        <v>0.17647058823529399</v>
      </c>
      <c r="AF255" s="137">
        <f t="shared" si="47"/>
        <v>226731.13089836104</v>
      </c>
      <c r="AG255" s="137">
        <f t="shared" si="48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hidden="1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472</v>
      </c>
      <c r="G256" s="119" t="s">
        <v>472</v>
      </c>
      <c r="H256" s="119" t="s">
        <v>472</v>
      </c>
      <c r="I256" s="131" t="s">
        <v>241</v>
      </c>
      <c r="J256" s="119" t="s">
        <v>242</v>
      </c>
      <c r="K256" s="119" t="s">
        <v>243</v>
      </c>
      <c r="L256" s="119" t="s">
        <v>472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7"/>
        <v>0</v>
      </c>
      <c r="U256" s="137">
        <f t="shared" si="41"/>
        <v>50000</v>
      </c>
      <c r="V256" s="137">
        <v>101737.1</v>
      </c>
      <c r="W256" s="137">
        <f t="shared" si="42"/>
        <v>-51737.100000000006</v>
      </c>
      <c r="X256" s="137">
        <f t="shared" si="38"/>
        <v>-51737.100000000006</v>
      </c>
      <c r="Y256" s="137">
        <f t="shared" si="43"/>
        <v>0</v>
      </c>
      <c r="Z256" s="137">
        <v>75683.63</v>
      </c>
      <c r="AA256" s="137">
        <f t="shared" si="39"/>
        <v>26053.47</v>
      </c>
      <c r="AB256" s="146">
        <f t="shared" si="45"/>
        <v>75683.63</v>
      </c>
      <c r="AC256" s="147">
        <f t="shared" si="40"/>
        <v>0</v>
      </c>
      <c r="AD256" s="137">
        <v>63443.131184523998</v>
      </c>
      <c r="AE256" s="138">
        <v>0.17647058823529399</v>
      </c>
      <c r="AF256" s="137">
        <f t="shared" si="47"/>
        <v>11195.846679621875</v>
      </c>
      <c r="AG256" s="137">
        <f t="shared" si="48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hidden="1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473</v>
      </c>
      <c r="G257" s="119" t="s">
        <v>474</v>
      </c>
      <c r="H257" s="119" t="s">
        <v>474</v>
      </c>
      <c r="I257" s="131" t="s">
        <v>241</v>
      </c>
      <c r="J257" s="119" t="s">
        <v>242</v>
      </c>
      <c r="K257" s="119" t="s">
        <v>243</v>
      </c>
      <c r="L257" s="119" t="s">
        <v>473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7"/>
        <v>0</v>
      </c>
      <c r="U257" s="137">
        <f t="shared" si="41"/>
        <v>50000</v>
      </c>
      <c r="V257" s="137">
        <v>50000</v>
      </c>
      <c r="W257" s="137">
        <f t="shared" si="42"/>
        <v>0</v>
      </c>
      <c r="X257" s="137">
        <f t="shared" si="38"/>
        <v>0</v>
      </c>
      <c r="Y257" s="137">
        <f t="shared" si="43"/>
        <v>0</v>
      </c>
      <c r="Z257" s="137">
        <v>49998.85</v>
      </c>
      <c r="AA257" s="137">
        <f t="shared" si="39"/>
        <v>1.1500000000014552</v>
      </c>
      <c r="AB257" s="146">
        <f t="shared" si="45"/>
        <v>49998.85</v>
      </c>
      <c r="AC257" s="147">
        <f t="shared" si="40"/>
        <v>0</v>
      </c>
      <c r="AD257" s="137">
        <v>41912.413551323298</v>
      </c>
      <c r="AE257" s="138">
        <v>0.17647058823529399</v>
      </c>
      <c r="AF257" s="137">
        <f t="shared" si="47"/>
        <v>7396.3082737629293</v>
      </c>
      <c r="AG257" s="137">
        <f t="shared" si="48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hidden="1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9">S258*N258</f>
        <v>0</v>
      </c>
      <c r="U258" s="137">
        <f t="shared" si="41"/>
        <v>26319.5</v>
      </c>
      <c r="V258" s="137">
        <v>35000</v>
      </c>
      <c r="W258" s="137">
        <f t="shared" si="42"/>
        <v>-8680.5</v>
      </c>
      <c r="X258" s="137">
        <f t="shared" ref="X258:X321" si="50">W258/(1+N258)</f>
        <v>-8680.5</v>
      </c>
      <c r="Y258" s="137">
        <f t="shared" si="43"/>
        <v>0</v>
      </c>
      <c r="Z258" s="137">
        <v>27483</v>
      </c>
      <c r="AA258" s="137">
        <f t="shared" ref="AA258:AA321" si="51">Q258+V258-Z258</f>
        <v>7517</v>
      </c>
      <c r="AB258" s="146">
        <f t="shared" si="45"/>
        <v>27483</v>
      </c>
      <c r="AC258" s="147">
        <f t="shared" ref="AC258:AC321" si="52">IF(O258="返现",Z258*N258,Z258-AB258)</f>
        <v>0</v>
      </c>
      <c r="AD258" s="137">
        <v>17159.7559064331</v>
      </c>
      <c r="AE258" s="138">
        <v>0.17647058823529399</v>
      </c>
      <c r="AF258" s="137">
        <f t="shared" si="47"/>
        <v>3028.1922187823097</v>
      </c>
      <c r="AG258" s="137">
        <f t="shared" si="48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hidden="1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 t="s">
        <v>1675</v>
      </c>
      <c r="Q259" s="137">
        <v>0</v>
      </c>
      <c r="R259" s="137">
        <v>0</v>
      </c>
      <c r="S259" s="137">
        <v>1200000</v>
      </c>
      <c r="T259" s="137">
        <f t="shared" si="49"/>
        <v>0</v>
      </c>
      <c r="U259" s="137">
        <f t="shared" ref="U259:U322" si="53">R259+S259+T259</f>
        <v>1200000</v>
      </c>
      <c r="V259" s="137">
        <v>0</v>
      </c>
      <c r="W259" s="137">
        <f t="shared" ref="W259:W322" si="54">U259-V259</f>
        <v>1200000</v>
      </c>
      <c r="X259" s="137">
        <f t="shared" si="50"/>
        <v>1200000</v>
      </c>
      <c r="Y259" s="137">
        <f t="shared" ref="Y259:Y322" si="55">W259-X259</f>
        <v>0</v>
      </c>
      <c r="Z259" s="137"/>
      <c r="AA259" s="137">
        <f t="shared" si="51"/>
        <v>0</v>
      </c>
      <c r="AB259" s="146">
        <v>1200000</v>
      </c>
      <c r="AC259" s="147">
        <f t="shared" si="52"/>
        <v>-1200000</v>
      </c>
      <c r="AD259" s="137">
        <v>0</v>
      </c>
      <c r="AE259" s="138">
        <v>0.17647058823529399</v>
      </c>
      <c r="AF259" s="137">
        <f t="shared" si="47"/>
        <v>0</v>
      </c>
      <c r="AG259" s="137">
        <f t="shared" si="48"/>
        <v>1200000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hidden="1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475</v>
      </c>
      <c r="G260" s="119" t="s">
        <v>475</v>
      </c>
      <c r="H260" s="119" t="s">
        <v>475</v>
      </c>
      <c r="I260" s="131" t="s">
        <v>241</v>
      </c>
      <c r="J260" s="119" t="s">
        <v>242</v>
      </c>
      <c r="K260" s="119" t="s">
        <v>243</v>
      </c>
      <c r="L260" s="119" t="s">
        <v>475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9"/>
        <v>0</v>
      </c>
      <c r="U260" s="137">
        <f t="shared" si="53"/>
        <v>30000</v>
      </c>
      <c r="V260" s="137">
        <v>30000</v>
      </c>
      <c r="W260" s="137">
        <f t="shared" si="54"/>
        <v>0</v>
      </c>
      <c r="X260" s="137">
        <f t="shared" si="50"/>
        <v>0</v>
      </c>
      <c r="Y260" s="137">
        <f t="shared" si="55"/>
        <v>0</v>
      </c>
      <c r="Z260" s="137">
        <v>19793</v>
      </c>
      <c r="AA260" s="137">
        <f t="shared" si="51"/>
        <v>10207</v>
      </c>
      <c r="AB260" s="146">
        <f t="shared" si="45"/>
        <v>19793</v>
      </c>
      <c r="AC260" s="147">
        <f t="shared" si="52"/>
        <v>0</v>
      </c>
      <c r="AD260" s="137">
        <v>16591.8296405086</v>
      </c>
      <c r="AE260" s="138">
        <v>0.17647058823529399</v>
      </c>
      <c r="AF260" s="137">
        <f t="shared" si="47"/>
        <v>2927.9699365603392</v>
      </c>
      <c r="AG260" s="137">
        <f t="shared" si="48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hidden="1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9"/>
        <v>0</v>
      </c>
      <c r="U261" s="137">
        <f t="shared" si="53"/>
        <v>23426.5</v>
      </c>
      <c r="V261" s="137">
        <v>25000</v>
      </c>
      <c r="W261" s="137">
        <f t="shared" si="54"/>
        <v>-1573.5</v>
      </c>
      <c r="X261" s="137">
        <f t="shared" si="50"/>
        <v>-1573.5</v>
      </c>
      <c r="Y261" s="137">
        <f t="shared" si="55"/>
        <v>0</v>
      </c>
      <c r="Z261" s="137">
        <v>14699.66</v>
      </c>
      <c r="AA261" s="137">
        <f t="shared" si="51"/>
        <v>10300.34</v>
      </c>
      <c r="AB261" s="146">
        <f t="shared" si="45"/>
        <v>14699.66</v>
      </c>
      <c r="AC261" s="147">
        <f t="shared" si="52"/>
        <v>0</v>
      </c>
      <c r="AD261" s="137">
        <v>12322.2479913807</v>
      </c>
      <c r="AE261" s="138">
        <v>0.17647058823529399</v>
      </c>
      <c r="AF261" s="137">
        <f t="shared" si="47"/>
        <v>2174.5143514201218</v>
      </c>
      <c r="AG261" s="137">
        <f t="shared" si="48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hidden="1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476</v>
      </c>
      <c r="G262" s="119" t="s">
        <v>476</v>
      </c>
      <c r="H262" s="119" t="s">
        <v>476</v>
      </c>
      <c r="I262" s="131" t="s">
        <v>241</v>
      </c>
      <c r="J262" s="119" t="s">
        <v>242</v>
      </c>
      <c r="K262" s="119" t="s">
        <v>243</v>
      </c>
      <c r="L262" s="119" t="s">
        <v>477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9"/>
        <v>0</v>
      </c>
      <c r="U262" s="137">
        <f t="shared" si="53"/>
        <v>40000</v>
      </c>
      <c r="V262" s="137">
        <v>40000</v>
      </c>
      <c r="W262" s="137">
        <f t="shared" si="54"/>
        <v>0</v>
      </c>
      <c r="X262" s="137">
        <f t="shared" si="50"/>
        <v>0</v>
      </c>
      <c r="Y262" s="137">
        <f t="shared" si="55"/>
        <v>0</v>
      </c>
      <c r="Z262" s="137">
        <v>33498.51</v>
      </c>
      <c r="AA262" s="137">
        <f t="shared" si="51"/>
        <v>6501.489999999998</v>
      </c>
      <c r="AB262" s="146">
        <f t="shared" si="45"/>
        <v>33498.51</v>
      </c>
      <c r="AC262" s="147">
        <f t="shared" si="52"/>
        <v>0</v>
      </c>
      <c r="AD262" s="137">
        <v>28080.713945883501</v>
      </c>
      <c r="AE262" s="138">
        <v>0.17647058823529399</v>
      </c>
      <c r="AF262" s="137">
        <f t="shared" si="47"/>
        <v>4955.4201080970852</v>
      </c>
      <c r="AG262" s="137">
        <f t="shared" si="48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hidden="1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478</v>
      </c>
      <c r="G263" s="119" t="s">
        <v>478</v>
      </c>
      <c r="H263" s="119" t="s">
        <v>478</v>
      </c>
      <c r="I263" s="131" t="s">
        <v>241</v>
      </c>
      <c r="J263" s="119" t="s">
        <v>242</v>
      </c>
      <c r="K263" s="119" t="s">
        <v>243</v>
      </c>
      <c r="L263" s="119" t="s">
        <v>478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9"/>
        <v>0</v>
      </c>
      <c r="U263" s="137">
        <f t="shared" si="53"/>
        <v>20000</v>
      </c>
      <c r="V263" s="137">
        <v>20000</v>
      </c>
      <c r="W263" s="137">
        <f t="shared" si="54"/>
        <v>0</v>
      </c>
      <c r="X263" s="137">
        <f t="shared" si="50"/>
        <v>0</v>
      </c>
      <c r="Y263" s="137">
        <f t="shared" si="55"/>
        <v>0</v>
      </c>
      <c r="Z263" s="137">
        <v>10000</v>
      </c>
      <c r="AA263" s="137">
        <f t="shared" si="51"/>
        <v>10000</v>
      </c>
      <c r="AB263" s="146">
        <f t="shared" si="45"/>
        <v>10000</v>
      </c>
      <c r="AC263" s="147">
        <f t="shared" si="52"/>
        <v>0</v>
      </c>
      <c r="AD263" s="137">
        <v>8382.6755118014298</v>
      </c>
      <c r="AE263" s="138">
        <v>0.17647058823529399</v>
      </c>
      <c r="AF263" s="137">
        <f t="shared" si="47"/>
        <v>1479.2956785531924</v>
      </c>
      <c r="AG263" s="137">
        <f t="shared" si="48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hidden="1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9"/>
        <v>0</v>
      </c>
      <c r="U264" s="137">
        <f t="shared" si="53"/>
        <v>17502.5</v>
      </c>
      <c r="V264" s="137">
        <v>104404.93</v>
      </c>
      <c r="W264" s="137">
        <f t="shared" si="54"/>
        <v>-86902.43</v>
      </c>
      <c r="X264" s="137">
        <f t="shared" si="50"/>
        <v>-86902.43</v>
      </c>
      <c r="Y264" s="137">
        <f t="shared" si="55"/>
        <v>0</v>
      </c>
      <c r="Z264" s="137">
        <v>55140.959999999999</v>
      </c>
      <c r="AA264" s="137">
        <f t="shared" si="51"/>
        <v>49263.969999999994</v>
      </c>
      <c r="AB264" s="146">
        <f t="shared" si="45"/>
        <v>55140.959999999999</v>
      </c>
      <c r="AC264" s="147">
        <f t="shared" si="52"/>
        <v>0</v>
      </c>
      <c r="AD264" s="137">
        <v>46222.877508922204</v>
      </c>
      <c r="AE264" s="138">
        <v>0.17647058823529399</v>
      </c>
      <c r="AF264" s="137">
        <f t="shared" si="47"/>
        <v>8156.9783839274414</v>
      </c>
      <c r="AG264" s="137">
        <f t="shared" si="48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hidden="1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479</v>
      </c>
      <c r="G265" s="119" t="s">
        <v>479</v>
      </c>
      <c r="H265" s="119" t="s">
        <v>479</v>
      </c>
      <c r="I265" s="131" t="s">
        <v>241</v>
      </c>
      <c r="J265" s="119" t="s">
        <v>242</v>
      </c>
      <c r="K265" s="119" t="s">
        <v>243</v>
      </c>
      <c r="L265" s="119" t="s">
        <v>479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9"/>
        <v>0</v>
      </c>
      <c r="U265" s="137">
        <f t="shared" si="53"/>
        <v>30000</v>
      </c>
      <c r="V265" s="137">
        <v>30000</v>
      </c>
      <c r="W265" s="137">
        <f t="shared" si="54"/>
        <v>0</v>
      </c>
      <c r="X265" s="137">
        <f t="shared" si="50"/>
        <v>0</v>
      </c>
      <c r="Y265" s="137">
        <f t="shared" si="55"/>
        <v>0</v>
      </c>
      <c r="Z265" s="137">
        <v>28391.919999999998</v>
      </c>
      <c r="AA265" s="137">
        <f t="shared" si="51"/>
        <v>1608.0800000000017</v>
      </c>
      <c r="AB265" s="146">
        <f t="shared" si="45"/>
        <v>28391.919999999998</v>
      </c>
      <c r="AC265" s="147">
        <f t="shared" si="52"/>
        <v>0</v>
      </c>
      <c r="AD265" s="137">
        <v>23800.0252517025</v>
      </c>
      <c r="AE265" s="138">
        <v>0.17647058823529399</v>
      </c>
      <c r="AF265" s="137">
        <f t="shared" si="47"/>
        <v>4200.0044561827908</v>
      </c>
      <c r="AG265" s="137">
        <f t="shared" si="48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hidden="1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480</v>
      </c>
      <c r="G266" s="119" t="s">
        <v>480</v>
      </c>
      <c r="H266" s="119" t="s">
        <v>480</v>
      </c>
      <c r="I266" s="131" t="s">
        <v>241</v>
      </c>
      <c r="J266" s="119" t="s">
        <v>242</v>
      </c>
      <c r="K266" s="119" t="s">
        <v>243</v>
      </c>
      <c r="L266" s="119" t="s">
        <v>480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9"/>
        <v>0</v>
      </c>
      <c r="U266" s="137">
        <f t="shared" si="53"/>
        <v>20000</v>
      </c>
      <c r="V266" s="137">
        <v>20000</v>
      </c>
      <c r="W266" s="137">
        <f t="shared" si="54"/>
        <v>0</v>
      </c>
      <c r="X266" s="137">
        <f t="shared" si="50"/>
        <v>0</v>
      </c>
      <c r="Y266" s="137">
        <f t="shared" si="55"/>
        <v>0</v>
      </c>
      <c r="Z266" s="137">
        <v>17389.099999999999</v>
      </c>
      <c r="AA266" s="137">
        <f t="shared" si="51"/>
        <v>2610.9000000000015</v>
      </c>
      <c r="AB266" s="146">
        <f t="shared" si="45"/>
        <v>17389.099999999999</v>
      </c>
      <c r="AC266" s="147">
        <f t="shared" si="52"/>
        <v>0</v>
      </c>
      <c r="AD266" s="137">
        <v>14576.7182742266</v>
      </c>
      <c r="AE266" s="138">
        <v>0.17647058823529399</v>
      </c>
      <c r="AF266" s="137">
        <f t="shared" si="47"/>
        <v>2572.3620483929276</v>
      </c>
      <c r="AG266" s="137">
        <f t="shared" si="48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hidden="1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481</v>
      </c>
      <c r="G267" s="119" t="s">
        <v>481</v>
      </c>
      <c r="H267" s="119" t="s">
        <v>481</v>
      </c>
      <c r="I267" s="131" t="s">
        <v>241</v>
      </c>
      <c r="J267" s="119" t="s">
        <v>242</v>
      </c>
      <c r="K267" s="119" t="s">
        <v>243</v>
      </c>
      <c r="L267" s="119" t="s">
        <v>481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9"/>
        <v>0</v>
      </c>
      <c r="U267" s="137">
        <f t="shared" si="53"/>
        <v>20000</v>
      </c>
      <c r="V267" s="137">
        <v>20000</v>
      </c>
      <c r="W267" s="137">
        <f t="shared" si="54"/>
        <v>0</v>
      </c>
      <c r="X267" s="137">
        <f t="shared" si="50"/>
        <v>0</v>
      </c>
      <c r="Y267" s="137">
        <f t="shared" si="55"/>
        <v>0</v>
      </c>
      <c r="Z267" s="137">
        <v>19996.73</v>
      </c>
      <c r="AA267" s="137">
        <f t="shared" si="51"/>
        <v>3.2700000000004366</v>
      </c>
      <c r="AB267" s="146">
        <f t="shared" si="45"/>
        <v>19996.73</v>
      </c>
      <c r="AC267" s="147">
        <f t="shared" si="52"/>
        <v>0</v>
      </c>
      <c r="AD267" s="137">
        <v>16762.6098887105</v>
      </c>
      <c r="AE267" s="138">
        <v>0.17647058823529399</v>
      </c>
      <c r="AF267" s="137">
        <f t="shared" si="47"/>
        <v>2958.1076274194979</v>
      </c>
      <c r="AG267" s="137">
        <f t="shared" si="48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hidden="1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9"/>
        <v>0</v>
      </c>
      <c r="U268" s="137">
        <f t="shared" si="53"/>
        <v>650000</v>
      </c>
      <c r="V268" s="137">
        <v>641000</v>
      </c>
      <c r="W268" s="137">
        <f t="shared" si="54"/>
        <v>9000</v>
      </c>
      <c r="X268" s="137">
        <f t="shared" si="50"/>
        <v>9000</v>
      </c>
      <c r="Y268" s="137">
        <f t="shared" si="55"/>
        <v>0</v>
      </c>
      <c r="Z268" s="137">
        <v>567585.56000000006</v>
      </c>
      <c r="AA268" s="137">
        <f t="shared" si="51"/>
        <v>73414.439999999944</v>
      </c>
      <c r="AB268" s="146">
        <f t="shared" si="45"/>
        <v>567585.56000000006</v>
      </c>
      <c r="AC268" s="147">
        <f t="shared" si="52"/>
        <v>0</v>
      </c>
      <c r="AD268" s="137">
        <v>475788.55746640998</v>
      </c>
      <c r="AE268" s="138">
        <v>0.17647058823529399</v>
      </c>
      <c r="AF268" s="137">
        <f t="shared" si="47"/>
        <v>83962.686611719342</v>
      </c>
      <c r="AG268" s="137">
        <f t="shared" si="48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hidden="1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482</v>
      </c>
      <c r="G269" s="119" t="s">
        <v>482</v>
      </c>
      <c r="H269" s="119" t="s">
        <v>482</v>
      </c>
      <c r="I269" s="131" t="s">
        <v>241</v>
      </c>
      <c r="J269" s="119" t="s">
        <v>242</v>
      </c>
      <c r="K269" s="119" t="s">
        <v>243</v>
      </c>
      <c r="L269" s="119" t="s">
        <v>1639</v>
      </c>
      <c r="M269" s="119" t="s">
        <v>45</v>
      </c>
      <c r="N269" s="135">
        <v>0.02</v>
      </c>
      <c r="O269" s="135" t="s">
        <v>1638</v>
      </c>
      <c r="P269" s="135"/>
      <c r="Q269" s="137">
        <v>0</v>
      </c>
      <c r="R269" s="137">
        <v>0</v>
      </c>
      <c r="S269" s="137">
        <v>116858.5</v>
      </c>
      <c r="T269" s="137">
        <f t="shared" si="49"/>
        <v>2337.17</v>
      </c>
      <c r="U269" s="137">
        <f t="shared" si="53"/>
        <v>119195.67</v>
      </c>
      <c r="V269" s="137">
        <v>65000</v>
      </c>
      <c r="W269" s="137">
        <f t="shared" si="54"/>
        <v>54195.67</v>
      </c>
      <c r="X269" s="137">
        <f t="shared" si="50"/>
        <v>53133.009803921566</v>
      </c>
      <c r="Y269" s="137">
        <f t="shared" si="55"/>
        <v>1062.6601960784319</v>
      </c>
      <c r="Z269" s="137">
        <v>54366.16</v>
      </c>
      <c r="AA269" s="137">
        <f t="shared" si="51"/>
        <v>10633.839999999997</v>
      </c>
      <c r="AB269" s="146">
        <f t="shared" si="45"/>
        <v>53300.156862745098</v>
      </c>
      <c r="AC269" s="147">
        <f t="shared" si="52"/>
        <v>1066.0031372549056</v>
      </c>
      <c r="AD269" s="137">
        <v>48774.128035588001</v>
      </c>
      <c r="AE269" s="138">
        <v>0.17647058823529399</v>
      </c>
      <c r="AF269" s="137">
        <f t="shared" si="47"/>
        <v>8607.1990651037595</v>
      </c>
      <c r="AG269" s="137">
        <f t="shared" si="48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hidden="1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483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9"/>
        <v>0</v>
      </c>
      <c r="U270" s="137">
        <f t="shared" si="53"/>
        <v>60000</v>
      </c>
      <c r="V270" s="137">
        <v>72000</v>
      </c>
      <c r="W270" s="137">
        <f t="shared" si="54"/>
        <v>-12000</v>
      </c>
      <c r="X270" s="137">
        <f t="shared" si="50"/>
        <v>-12000</v>
      </c>
      <c r="Y270" s="137">
        <f t="shared" si="55"/>
        <v>0</v>
      </c>
      <c r="Z270" s="137">
        <v>0</v>
      </c>
      <c r="AA270" s="137">
        <f t="shared" si="51"/>
        <v>72000</v>
      </c>
      <c r="AB270" s="146">
        <f t="shared" si="45"/>
        <v>0</v>
      </c>
      <c r="AC270" s="147">
        <f t="shared" si="52"/>
        <v>0</v>
      </c>
      <c r="AD270" s="137">
        <v>52472.958457143803</v>
      </c>
      <c r="AE270" s="138">
        <v>0.17647058823529399</v>
      </c>
      <c r="AF270" s="137">
        <f t="shared" si="47"/>
        <v>9259.9338453783112</v>
      </c>
      <c r="AG270" s="137">
        <f t="shared" si="48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hidden="1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9"/>
        <v>0</v>
      </c>
      <c r="U271" s="137">
        <f t="shared" si="53"/>
        <v>17886</v>
      </c>
      <c r="V271" s="137">
        <v>25000</v>
      </c>
      <c r="W271" s="137">
        <f t="shared" si="54"/>
        <v>-7114</v>
      </c>
      <c r="X271" s="137">
        <f t="shared" si="50"/>
        <v>-7114</v>
      </c>
      <c r="Y271" s="137">
        <f t="shared" si="55"/>
        <v>0</v>
      </c>
      <c r="Z271" s="137">
        <v>24601.3</v>
      </c>
      <c r="AA271" s="137">
        <f t="shared" si="51"/>
        <v>398.70000000000073</v>
      </c>
      <c r="AB271" s="146">
        <f t="shared" si="45"/>
        <v>24601.3</v>
      </c>
      <c r="AC271" s="147">
        <f t="shared" si="52"/>
        <v>0</v>
      </c>
      <c r="AD271" s="137">
        <v>20622.471506848098</v>
      </c>
      <c r="AE271" s="138">
        <v>0.17647058823529399</v>
      </c>
      <c r="AF271" s="137">
        <f t="shared" si="47"/>
        <v>3639.2596776790733</v>
      </c>
      <c r="AG271" s="137">
        <f t="shared" si="48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hidden="1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484</v>
      </c>
      <c r="G272" s="119" t="s">
        <v>484</v>
      </c>
      <c r="H272" s="119" t="s">
        <v>484</v>
      </c>
      <c r="I272" s="131" t="s">
        <v>241</v>
      </c>
      <c r="J272" s="119" t="s">
        <v>242</v>
      </c>
      <c r="K272" s="119" t="s">
        <v>243</v>
      </c>
      <c r="L272" s="119" t="s">
        <v>484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9"/>
        <v>0</v>
      </c>
      <c r="U272" s="137">
        <f t="shared" si="53"/>
        <v>10000</v>
      </c>
      <c r="V272" s="137">
        <v>10000</v>
      </c>
      <c r="W272" s="137">
        <f t="shared" si="54"/>
        <v>0</v>
      </c>
      <c r="X272" s="137">
        <f t="shared" si="50"/>
        <v>0</v>
      </c>
      <c r="Y272" s="137">
        <f t="shared" si="55"/>
        <v>0</v>
      </c>
      <c r="Z272" s="137">
        <v>2156.5</v>
      </c>
      <c r="AA272" s="137">
        <f t="shared" si="51"/>
        <v>7843.5</v>
      </c>
      <c r="AB272" s="146">
        <f t="shared" si="45"/>
        <v>2156.5</v>
      </c>
      <c r="AC272" s="147">
        <f t="shared" si="52"/>
        <v>0</v>
      </c>
      <c r="AD272" s="137">
        <v>1807.7239741199801</v>
      </c>
      <c r="AE272" s="138">
        <v>0.17647058823529399</v>
      </c>
      <c r="AF272" s="137">
        <f t="shared" si="47"/>
        <v>319.01011307999624</v>
      </c>
      <c r="AG272" s="137">
        <f t="shared" si="48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hidden="1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9"/>
        <v>0</v>
      </c>
      <c r="U273" s="137">
        <f t="shared" si="53"/>
        <v>6175.5</v>
      </c>
      <c r="V273" s="137">
        <v>15000</v>
      </c>
      <c r="W273" s="137">
        <f t="shared" si="54"/>
        <v>-8824.5</v>
      </c>
      <c r="X273" s="137">
        <f t="shared" si="50"/>
        <v>-8824.5</v>
      </c>
      <c r="Y273" s="137">
        <f t="shared" si="55"/>
        <v>0</v>
      </c>
      <c r="Z273" s="137">
        <v>156</v>
      </c>
      <c r="AA273" s="137">
        <f t="shared" si="51"/>
        <v>14844</v>
      </c>
      <c r="AB273" s="146">
        <f t="shared" si="45"/>
        <v>156</v>
      </c>
      <c r="AC273" s="147">
        <f t="shared" si="52"/>
        <v>0</v>
      </c>
      <c r="AD273" s="137">
        <v>130.76973798410199</v>
      </c>
      <c r="AE273" s="138">
        <v>0.17647058823529399</v>
      </c>
      <c r="AF273" s="137">
        <f t="shared" si="47"/>
        <v>23.077012585429745</v>
      </c>
      <c r="AG273" s="137">
        <f t="shared" si="48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hidden="1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485</v>
      </c>
      <c r="G274" s="119" t="s">
        <v>485</v>
      </c>
      <c r="H274" s="119" t="s">
        <v>485</v>
      </c>
      <c r="I274" s="131" t="s">
        <v>241</v>
      </c>
      <c r="J274" s="119" t="s">
        <v>242</v>
      </c>
      <c r="K274" s="119" t="s">
        <v>243</v>
      </c>
      <c r="L274" s="119" t="s">
        <v>485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9"/>
        <v>0</v>
      </c>
      <c r="U274" s="137">
        <f t="shared" si="53"/>
        <v>20000</v>
      </c>
      <c r="V274" s="137">
        <v>20000</v>
      </c>
      <c r="W274" s="137">
        <f t="shared" si="54"/>
        <v>0</v>
      </c>
      <c r="X274" s="137">
        <f t="shared" si="50"/>
        <v>0</v>
      </c>
      <c r="Y274" s="137">
        <f t="shared" si="55"/>
        <v>0</v>
      </c>
      <c r="Z274" s="137">
        <v>2837.4</v>
      </c>
      <c r="AA274" s="137">
        <f t="shared" si="51"/>
        <v>17162.599999999999</v>
      </c>
      <c r="AB274" s="146">
        <f t="shared" si="45"/>
        <v>2837.4</v>
      </c>
      <c r="AC274" s="147">
        <f t="shared" si="52"/>
        <v>0</v>
      </c>
      <c r="AD274" s="137">
        <v>2378.5003497185398</v>
      </c>
      <c r="AE274" s="138">
        <v>0.17647058823529399</v>
      </c>
      <c r="AF274" s="137">
        <f t="shared" si="47"/>
        <v>419.73535583268318</v>
      </c>
      <c r="AG274" s="137">
        <f t="shared" si="48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hidden="1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9"/>
        <v>0</v>
      </c>
      <c r="U275" s="137">
        <f t="shared" si="53"/>
        <v>639736</v>
      </c>
      <c r="V275" s="137">
        <v>35001</v>
      </c>
      <c r="W275" s="137">
        <f t="shared" si="54"/>
        <v>604735</v>
      </c>
      <c r="X275" s="137">
        <f t="shared" si="50"/>
        <v>604735</v>
      </c>
      <c r="Y275" s="137">
        <f t="shared" si="55"/>
        <v>0</v>
      </c>
      <c r="Z275" s="137">
        <v>30560.5</v>
      </c>
      <c r="AA275" s="137">
        <f t="shared" si="51"/>
        <v>4440.5</v>
      </c>
      <c r="AB275" s="146">
        <f>IF(O275="返货",Z275/(1+N275),IF(O275="返现",Z275,IF(O275="折扣",Z275*N275,IF(O275="无",Z275))))+4439.5</f>
        <v>35000</v>
      </c>
      <c r="AC275" s="147">
        <f t="shared" si="52"/>
        <v>-4439.5</v>
      </c>
      <c r="AD275" s="137">
        <v>29341.040826407399</v>
      </c>
      <c r="AE275" s="138">
        <v>0.17647058823529399</v>
      </c>
      <c r="AF275" s="137">
        <f t="shared" si="47"/>
        <v>5177.8307340718902</v>
      </c>
      <c r="AG275" s="137">
        <f t="shared" si="48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hidden="1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486</v>
      </c>
      <c r="G276" s="119" t="s">
        <v>486</v>
      </c>
      <c r="H276" s="119" t="s">
        <v>486</v>
      </c>
      <c r="I276" s="131" t="s">
        <v>241</v>
      </c>
      <c r="J276" s="119" t="s">
        <v>242</v>
      </c>
      <c r="K276" s="119" t="s">
        <v>243</v>
      </c>
      <c r="L276" s="119" t="s">
        <v>487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9"/>
        <v>693.99600000000009</v>
      </c>
      <c r="U276" s="137">
        <f t="shared" si="53"/>
        <v>35393.796000000002</v>
      </c>
      <c r="V276" s="137">
        <v>70000</v>
      </c>
      <c r="W276" s="137">
        <f t="shared" si="54"/>
        <v>-34606.203999999998</v>
      </c>
      <c r="X276" s="137">
        <f t="shared" si="50"/>
        <v>-33927.650980392151</v>
      </c>
      <c r="Y276" s="137">
        <f t="shared" si="55"/>
        <v>-678.55301960784709</v>
      </c>
      <c r="Z276" s="137">
        <v>34699.800000000003</v>
      </c>
      <c r="AA276" s="137">
        <f t="shared" si="51"/>
        <v>35300.199999999997</v>
      </c>
      <c r="AB276" s="146">
        <f t="shared" si="45"/>
        <v>34019.411764705881</v>
      </c>
      <c r="AC276" s="147">
        <f t="shared" si="52"/>
        <v>680.38823529412184</v>
      </c>
      <c r="AD276" s="137">
        <v>29087.7163724407</v>
      </c>
      <c r="AE276" s="138">
        <v>0.17647058823529399</v>
      </c>
      <c r="AF276" s="137">
        <f t="shared" si="47"/>
        <v>5133.1264186660019</v>
      </c>
      <c r="AG276" s="137">
        <f t="shared" si="48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488</v>
      </c>
      <c r="G277" s="119" t="s">
        <v>489</v>
      </c>
      <c r="H277" s="119" t="s">
        <v>489</v>
      </c>
      <c r="I277" s="131" t="s">
        <v>241</v>
      </c>
      <c r="J277" s="119" t="s">
        <v>242</v>
      </c>
      <c r="K277" s="119" t="s">
        <v>243</v>
      </c>
      <c r="L277" s="119" t="s">
        <v>488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9"/>
        <v>0</v>
      </c>
      <c r="U277" s="137">
        <f t="shared" si="53"/>
        <v>10000</v>
      </c>
      <c r="V277" s="137">
        <v>0</v>
      </c>
      <c r="W277" s="137">
        <f t="shared" si="54"/>
        <v>10000</v>
      </c>
      <c r="X277" s="137">
        <f t="shared" si="50"/>
        <v>10000</v>
      </c>
      <c r="Y277" s="137">
        <f t="shared" si="55"/>
        <v>0</v>
      </c>
      <c r="Z277" s="137"/>
      <c r="AA277" s="137">
        <f t="shared" si="51"/>
        <v>0</v>
      </c>
      <c r="AB277" s="146">
        <f t="shared" si="45"/>
        <v>0</v>
      </c>
      <c r="AC277" s="147">
        <f t="shared" si="52"/>
        <v>0</v>
      </c>
      <c r="AD277" s="137">
        <v>0</v>
      </c>
      <c r="AE277" s="138">
        <v>0.17647058823529399</v>
      </c>
      <c r="AF277" s="137">
        <f t="shared" si="47"/>
        <v>0</v>
      </c>
      <c r="AG277" s="137">
        <f t="shared" si="48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hidden="1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490</v>
      </c>
      <c r="G278" s="119" t="s">
        <v>490</v>
      </c>
      <c r="H278" s="119" t="s">
        <v>490</v>
      </c>
      <c r="I278" s="131" t="s">
        <v>241</v>
      </c>
      <c r="J278" s="119" t="s">
        <v>242</v>
      </c>
      <c r="K278" s="119" t="s">
        <v>243</v>
      </c>
      <c r="L278" s="119" t="s">
        <v>491</v>
      </c>
      <c r="M278" s="119" t="s">
        <v>45</v>
      </c>
      <c r="N278" s="136">
        <v>0.02</v>
      </c>
      <c r="O278" s="135" t="s">
        <v>492</v>
      </c>
      <c r="P278" s="135"/>
      <c r="Q278" s="137">
        <v>0</v>
      </c>
      <c r="R278" s="137">
        <v>0</v>
      </c>
      <c r="S278" s="137">
        <v>160000</v>
      </c>
      <c r="T278" s="137">
        <f t="shared" si="49"/>
        <v>3200</v>
      </c>
      <c r="U278" s="137">
        <f t="shared" si="53"/>
        <v>163200</v>
      </c>
      <c r="V278" s="137">
        <v>160000</v>
      </c>
      <c r="W278" s="137">
        <f t="shared" si="54"/>
        <v>3200</v>
      </c>
      <c r="X278" s="137">
        <f t="shared" si="50"/>
        <v>3137.2549019607841</v>
      </c>
      <c r="Y278" s="137">
        <f t="shared" si="55"/>
        <v>62.745098039215918</v>
      </c>
      <c r="Z278" s="137">
        <v>129985.2</v>
      </c>
      <c r="AA278" s="137">
        <f t="shared" si="51"/>
        <v>30014.800000000003</v>
      </c>
      <c r="AB278" s="146">
        <f t="shared" si="45"/>
        <v>129985.2</v>
      </c>
      <c r="AC278" s="147">
        <f t="shared" si="52"/>
        <v>2599.7040000000002</v>
      </c>
      <c r="AD278" s="137">
        <v>108962.375293661</v>
      </c>
      <c r="AE278" s="138">
        <v>0.17647058823529399</v>
      </c>
      <c r="AF278" s="137">
        <f t="shared" si="47"/>
        <v>19228.65446358722</v>
      </c>
      <c r="AG278" s="137">
        <f t="shared" si="48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hidden="1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9"/>
        <v>122000</v>
      </c>
      <c r="U279" s="137">
        <f t="shared" si="53"/>
        <v>6222000</v>
      </c>
      <c r="V279" s="137">
        <v>6338000</v>
      </c>
      <c r="W279" s="137">
        <f t="shared" si="54"/>
        <v>-116000</v>
      </c>
      <c r="X279" s="137">
        <f t="shared" si="50"/>
        <v>-113725.49019607843</v>
      </c>
      <c r="Y279" s="137">
        <f t="shared" si="55"/>
        <v>-2274.5098039215663</v>
      </c>
      <c r="Z279" s="137">
        <v>6557885</v>
      </c>
      <c r="AA279" s="137">
        <f t="shared" si="51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2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7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hidden="1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9"/>
        <v>0</v>
      </c>
      <c r="U280" s="137">
        <f t="shared" si="53"/>
        <v>120000</v>
      </c>
      <c r="V280" s="137">
        <v>130024</v>
      </c>
      <c r="W280" s="137">
        <f t="shared" si="54"/>
        <v>-10024</v>
      </c>
      <c r="X280" s="137">
        <f t="shared" si="50"/>
        <v>-10024</v>
      </c>
      <c r="Y280" s="137">
        <f t="shared" si="55"/>
        <v>0</v>
      </c>
      <c r="Z280" s="137">
        <v>68900.899999999994</v>
      </c>
      <c r="AA280" s="137">
        <f t="shared" si="51"/>
        <v>61123.100000000006</v>
      </c>
      <c r="AB280" s="146">
        <f t="shared" si="45"/>
        <v>68900.899999999994</v>
      </c>
      <c r="AC280" s="147">
        <f t="shared" si="52"/>
        <v>0</v>
      </c>
      <c r="AD280" s="137">
        <v>57757.388717107897</v>
      </c>
      <c r="AE280" s="138">
        <v>0.17647058823529399</v>
      </c>
      <c r="AF280" s="137">
        <f t="shared" si="47"/>
        <v>10192.480361842563</v>
      </c>
      <c r="AG280" s="137">
        <f t="shared" ref="AG280:AG292" si="56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hidden="1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493</v>
      </c>
      <c r="G281" s="119" t="s">
        <v>494</v>
      </c>
      <c r="H281" s="157" t="s">
        <v>495</v>
      </c>
      <c r="I281" s="131" t="s">
        <v>241</v>
      </c>
      <c r="J281" s="119" t="s">
        <v>242</v>
      </c>
      <c r="K281" s="119" t="s">
        <v>243</v>
      </c>
      <c r="L281" s="119" t="s">
        <v>496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9"/>
        <v>0</v>
      </c>
      <c r="U281" s="137">
        <f t="shared" si="53"/>
        <v>20000</v>
      </c>
      <c r="V281" s="137">
        <v>20000</v>
      </c>
      <c r="W281" s="137">
        <f t="shared" si="54"/>
        <v>0</v>
      </c>
      <c r="X281" s="137">
        <f t="shared" si="50"/>
        <v>0</v>
      </c>
      <c r="Y281" s="137">
        <f t="shared" si="55"/>
        <v>0</v>
      </c>
      <c r="Z281" s="137">
        <v>4161</v>
      </c>
      <c r="AA281" s="137">
        <f t="shared" si="51"/>
        <v>15839</v>
      </c>
      <c r="AB281" s="146">
        <f t="shared" si="45"/>
        <v>4161</v>
      </c>
      <c r="AC281" s="147">
        <f t="shared" si="52"/>
        <v>0</v>
      </c>
      <c r="AD281" s="137">
        <v>3488.0312804605701</v>
      </c>
      <c r="AE281" s="138">
        <v>0.17647058823529399</v>
      </c>
      <c r="AF281" s="137">
        <f t="shared" si="47"/>
        <v>615.53493184598256</v>
      </c>
      <c r="AG281" s="137">
        <f t="shared" si="56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hidden="1" customHeight="1" x14ac:dyDescent="0.3">
      <c r="A282" s="119">
        <v>2017</v>
      </c>
      <c r="B282" s="119" t="s">
        <v>1655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9"/>
        <v>0</v>
      </c>
      <c r="U282" s="137">
        <f t="shared" si="53"/>
        <v>35000</v>
      </c>
      <c r="V282" s="137">
        <v>5581.77</v>
      </c>
      <c r="W282" s="137">
        <f t="shared" si="54"/>
        <v>29418.23</v>
      </c>
      <c r="X282" s="137">
        <f t="shared" si="50"/>
        <v>29418.23</v>
      </c>
      <c r="Y282" s="137">
        <f t="shared" si="55"/>
        <v>0</v>
      </c>
      <c r="Z282" s="137">
        <v>5581.77</v>
      </c>
      <c r="AA282" s="137">
        <f t="shared" si="51"/>
        <v>0</v>
      </c>
      <c r="AB282" s="146">
        <f t="shared" si="45"/>
        <v>5581.77</v>
      </c>
      <c r="AC282" s="147">
        <f t="shared" si="52"/>
        <v>0</v>
      </c>
      <c r="AD282" s="137">
        <v>0</v>
      </c>
      <c r="AE282" s="138">
        <v>0.17647058823529399</v>
      </c>
      <c r="AF282" s="137">
        <f t="shared" si="47"/>
        <v>0</v>
      </c>
      <c r="AG282" s="137">
        <f t="shared" si="56"/>
        <v>0</v>
      </c>
      <c r="AH282" s="154"/>
      <c r="AI282" s="154"/>
      <c r="AJ282" s="135" t="s">
        <v>46</v>
      </c>
      <c r="AK282" s="119" t="s">
        <v>46</v>
      </c>
      <c r="AM282" s="131" t="s">
        <v>446</v>
      </c>
    </row>
    <row r="283" spans="1:39" s="119" customFormat="1" ht="15" hidden="1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497</v>
      </c>
      <c r="G283" s="119" t="s">
        <v>497</v>
      </c>
      <c r="H283" s="119" t="s">
        <v>497</v>
      </c>
      <c r="I283" s="131" t="s">
        <v>241</v>
      </c>
      <c r="J283" s="119" t="s">
        <v>242</v>
      </c>
      <c r="K283" s="119" t="s">
        <v>243</v>
      </c>
      <c r="L283" s="119" t="s">
        <v>497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9"/>
        <v>0</v>
      </c>
      <c r="U283" s="137">
        <f t="shared" si="53"/>
        <v>20000</v>
      </c>
      <c r="V283" s="137">
        <v>20000</v>
      </c>
      <c r="W283" s="137">
        <f t="shared" si="54"/>
        <v>0</v>
      </c>
      <c r="X283" s="137">
        <f t="shared" si="50"/>
        <v>0</v>
      </c>
      <c r="Y283" s="137">
        <f t="shared" si="55"/>
        <v>0</v>
      </c>
      <c r="Z283" s="137">
        <v>4640.5</v>
      </c>
      <c r="AA283" s="137">
        <f t="shared" si="51"/>
        <v>15359.5</v>
      </c>
      <c r="AB283" s="146">
        <f t="shared" si="45"/>
        <v>4640.5</v>
      </c>
      <c r="AC283" s="147">
        <f t="shared" si="52"/>
        <v>0</v>
      </c>
      <c r="AD283" s="137">
        <v>3889.9805712514499</v>
      </c>
      <c r="AE283" s="138">
        <v>0.17647058823529399</v>
      </c>
      <c r="AF283" s="137">
        <f t="shared" si="47"/>
        <v>686.46715963260829</v>
      </c>
      <c r="AG283" s="137">
        <f t="shared" si="56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hidden="1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9"/>
        <v>0</v>
      </c>
      <c r="U284" s="137">
        <f t="shared" si="53"/>
        <v>60000</v>
      </c>
      <c r="V284" s="137">
        <v>60000</v>
      </c>
      <c r="W284" s="137">
        <f t="shared" si="54"/>
        <v>0</v>
      </c>
      <c r="X284" s="137">
        <f t="shared" si="50"/>
        <v>0</v>
      </c>
      <c r="Y284" s="137">
        <f t="shared" si="55"/>
        <v>0</v>
      </c>
      <c r="Z284" s="137">
        <v>29887.5</v>
      </c>
      <c r="AA284" s="137">
        <f t="shared" si="51"/>
        <v>30112.5</v>
      </c>
      <c r="AB284" s="146">
        <f t="shared" si="45"/>
        <v>29887.5</v>
      </c>
      <c r="AC284" s="147">
        <f t="shared" si="52"/>
        <v>0</v>
      </c>
      <c r="AD284" s="137">
        <v>25053.721435896499</v>
      </c>
      <c r="AE284" s="138">
        <v>0.17647058823529399</v>
      </c>
      <c r="AF284" s="137">
        <f t="shared" si="47"/>
        <v>4421.2449592758494</v>
      </c>
      <c r="AG284" s="137">
        <f t="shared" si="56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hidden="1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9"/>
        <v>0</v>
      </c>
      <c r="U285" s="137">
        <f t="shared" si="53"/>
        <v>83398.5</v>
      </c>
      <c r="V285" s="137">
        <v>0</v>
      </c>
      <c r="W285" s="137">
        <f t="shared" si="54"/>
        <v>83398.5</v>
      </c>
      <c r="X285" s="137">
        <f t="shared" si="50"/>
        <v>83398.5</v>
      </c>
      <c r="Y285" s="137">
        <f t="shared" si="55"/>
        <v>0</v>
      </c>
      <c r="Z285" s="137">
        <v>114226.5</v>
      </c>
      <c r="AA285" s="137">
        <f t="shared" si="51"/>
        <v>-114226.5</v>
      </c>
      <c r="AB285" s="146">
        <v>80625</v>
      </c>
      <c r="AC285" s="147">
        <f t="shared" si="52"/>
        <v>33601.5</v>
      </c>
      <c r="AD285" s="137">
        <v>0</v>
      </c>
      <c r="AE285" s="138">
        <v>0.17647058823529399</v>
      </c>
      <c r="AF285" s="137">
        <f t="shared" si="47"/>
        <v>0</v>
      </c>
      <c r="AG285" s="137">
        <f t="shared" si="56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hidden="1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9"/>
        <v>0</v>
      </c>
      <c r="U286" s="137">
        <f t="shared" si="53"/>
        <v>57303</v>
      </c>
      <c r="V286" s="137">
        <v>75000</v>
      </c>
      <c r="W286" s="137">
        <f t="shared" si="54"/>
        <v>-17697</v>
      </c>
      <c r="X286" s="137">
        <f t="shared" si="50"/>
        <v>-17697</v>
      </c>
      <c r="Y286" s="137">
        <f t="shared" si="55"/>
        <v>0</v>
      </c>
      <c r="Z286" s="137">
        <v>26284.59</v>
      </c>
      <c r="AA286" s="137">
        <f t="shared" si="51"/>
        <v>48715.41</v>
      </c>
      <c r="AB286" s="146">
        <f t="shared" si="45"/>
        <v>26284.59</v>
      </c>
      <c r="AC286" s="147">
        <f t="shared" si="52"/>
        <v>0</v>
      </c>
      <c r="AD286" s="137">
        <v>22033.518893074099</v>
      </c>
      <c r="AE286" s="138">
        <v>0.17647058823529399</v>
      </c>
      <c r="AF286" s="137">
        <f t="shared" si="47"/>
        <v>3888.2680399542501</v>
      </c>
      <c r="AG286" s="137">
        <f t="shared" si="56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hidden="1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498</v>
      </c>
      <c r="G287" s="119" t="s">
        <v>498</v>
      </c>
      <c r="H287" s="119" t="s">
        <v>498</v>
      </c>
      <c r="I287" s="131" t="s">
        <v>241</v>
      </c>
      <c r="J287" s="119" t="s">
        <v>242</v>
      </c>
      <c r="K287" s="119" t="s">
        <v>243</v>
      </c>
      <c r="L287" s="119" t="s">
        <v>498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9"/>
        <v>0</v>
      </c>
      <c r="U287" s="137">
        <f t="shared" si="53"/>
        <v>10000</v>
      </c>
      <c r="V287" s="137">
        <v>10000</v>
      </c>
      <c r="W287" s="137">
        <f t="shared" si="54"/>
        <v>0</v>
      </c>
      <c r="X287" s="137">
        <f t="shared" si="50"/>
        <v>0</v>
      </c>
      <c r="Y287" s="137">
        <f t="shared" si="55"/>
        <v>0</v>
      </c>
      <c r="Z287" s="137"/>
      <c r="AA287" s="137">
        <f t="shared" si="51"/>
        <v>10000</v>
      </c>
      <c r="AB287" s="146">
        <f t="shared" si="45"/>
        <v>0</v>
      </c>
      <c r="AC287" s="147">
        <f t="shared" si="52"/>
        <v>0</v>
      </c>
      <c r="AD287" s="137">
        <v>0</v>
      </c>
      <c r="AE287" s="138">
        <v>0.17647058823529399</v>
      </c>
      <c r="AF287" s="137">
        <f t="shared" si="47"/>
        <v>0</v>
      </c>
      <c r="AG287" s="137">
        <f t="shared" si="56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hidden="1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499</v>
      </c>
      <c r="G288" s="119" t="s">
        <v>499</v>
      </c>
      <c r="H288" s="119" t="s">
        <v>499</v>
      </c>
      <c r="I288" s="131" t="s">
        <v>241</v>
      </c>
      <c r="J288" s="119" t="s">
        <v>242</v>
      </c>
      <c r="K288" s="119" t="s">
        <v>243</v>
      </c>
      <c r="L288" s="119" t="s">
        <v>500</v>
      </c>
      <c r="M288" s="119" t="s">
        <v>45</v>
      </c>
      <c r="N288" s="136">
        <v>0.02</v>
      </c>
      <c r="O288" s="135" t="s">
        <v>492</v>
      </c>
      <c r="P288" s="135" t="s">
        <v>437</v>
      </c>
      <c r="Q288" s="137">
        <v>0</v>
      </c>
      <c r="R288" s="137">
        <v>0</v>
      </c>
      <c r="S288" s="137">
        <v>223018</v>
      </c>
      <c r="T288" s="137">
        <f t="shared" si="49"/>
        <v>4460.3599999999997</v>
      </c>
      <c r="U288" s="137">
        <f t="shared" si="53"/>
        <v>227478.36</v>
      </c>
      <c r="V288" s="137">
        <v>225000</v>
      </c>
      <c r="W288" s="137">
        <f t="shared" si="54"/>
        <v>2478.359999999986</v>
      </c>
      <c r="X288" s="137">
        <f t="shared" si="50"/>
        <v>2429.7647058823391</v>
      </c>
      <c r="Y288" s="137">
        <f t="shared" si="55"/>
        <v>48.595294117646972</v>
      </c>
      <c r="Z288" s="137">
        <f>191385.9-Z1167</f>
        <v>170385.9</v>
      </c>
      <c r="AA288" s="137">
        <f t="shared" si="51"/>
        <v>54614.100000000006</v>
      </c>
      <c r="AB288" s="146">
        <f t="shared" si="45"/>
        <v>170385.9</v>
      </c>
      <c r="AC288" s="147">
        <f t="shared" si="52"/>
        <v>3407.7179999999998</v>
      </c>
      <c r="AD288" s="137">
        <v>160432.58972340799</v>
      </c>
      <c r="AE288" s="138">
        <v>0.17647058823529399</v>
      </c>
      <c r="AF288" s="137">
        <f t="shared" si="47"/>
        <v>28311.633480601391</v>
      </c>
      <c r="AG288" s="137">
        <f t="shared" si="56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501</v>
      </c>
      <c r="M289" s="119" t="s">
        <v>45</v>
      </c>
      <c r="N289" s="136">
        <v>0.02</v>
      </c>
      <c r="O289" s="135" t="s">
        <v>492</v>
      </c>
      <c r="P289" s="135"/>
      <c r="Q289" s="137">
        <v>0</v>
      </c>
      <c r="R289" s="137">
        <v>0</v>
      </c>
      <c r="S289" s="137">
        <v>600000</v>
      </c>
      <c r="T289" s="137">
        <f t="shared" si="49"/>
        <v>12000</v>
      </c>
      <c r="U289" s="137">
        <f t="shared" si="53"/>
        <v>612000</v>
      </c>
      <c r="V289" s="137">
        <v>600000</v>
      </c>
      <c r="W289" s="137">
        <f t="shared" si="54"/>
        <v>12000</v>
      </c>
      <c r="X289" s="137">
        <f t="shared" si="50"/>
        <v>11764.705882352941</v>
      </c>
      <c r="Y289" s="137">
        <f t="shared" si="55"/>
        <v>235.29411764705947</v>
      </c>
      <c r="Z289" s="137">
        <v>562926.96</v>
      </c>
      <c r="AA289" s="137">
        <f t="shared" si="51"/>
        <v>37073.040000000037</v>
      </c>
      <c r="AB289" s="146">
        <f t="shared" si="45"/>
        <v>562926.96</v>
      </c>
      <c r="AC289" s="147">
        <f t="shared" si="52"/>
        <v>11258.539199999999</v>
      </c>
      <c r="AD289" s="137">
        <v>471883.404252482</v>
      </c>
      <c r="AE289" s="138">
        <v>0.17647058823529399</v>
      </c>
      <c r="AF289" s="137">
        <f t="shared" si="47"/>
        <v>83273.541926908525</v>
      </c>
      <c r="AG289" s="137">
        <f t="shared" si="56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hidden="1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9"/>
        <v>0</v>
      </c>
      <c r="U290" s="137">
        <f t="shared" si="53"/>
        <v>7896.1</v>
      </c>
      <c r="V290" s="137">
        <v>15000</v>
      </c>
      <c r="W290" s="137">
        <f t="shared" si="54"/>
        <v>-7103.9</v>
      </c>
      <c r="X290" s="137">
        <f t="shared" si="50"/>
        <v>-7103.9</v>
      </c>
      <c r="Y290" s="137">
        <f t="shared" si="55"/>
        <v>0</v>
      </c>
      <c r="Z290" s="137">
        <v>7896.1</v>
      </c>
      <c r="AA290" s="137">
        <f t="shared" si="51"/>
        <v>7103.9</v>
      </c>
      <c r="AB290" s="146">
        <f t="shared" si="45"/>
        <v>7896.1</v>
      </c>
      <c r="AC290" s="147">
        <f t="shared" si="52"/>
        <v>0</v>
      </c>
      <c r="AD290" s="137">
        <v>6619.0444108735301</v>
      </c>
      <c r="AE290" s="138">
        <v>0.17647058823529399</v>
      </c>
      <c r="AF290" s="137">
        <f t="shared" si="47"/>
        <v>1168.0666607423868</v>
      </c>
      <c r="AG290" s="137">
        <f t="shared" si="56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hidden="1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9"/>
        <v>0</v>
      </c>
      <c r="U291" s="137">
        <f t="shared" si="53"/>
        <v>2920</v>
      </c>
      <c r="V291" s="137">
        <v>69171.199999999997</v>
      </c>
      <c r="W291" s="137">
        <f t="shared" si="54"/>
        <v>-66251.199999999997</v>
      </c>
      <c r="X291" s="137">
        <f t="shared" si="50"/>
        <v>-66251.199999999997</v>
      </c>
      <c r="Y291" s="137">
        <f t="shared" si="55"/>
        <v>0</v>
      </c>
      <c r="Z291" s="137">
        <v>2920</v>
      </c>
      <c r="AA291" s="137">
        <f t="shared" si="51"/>
        <v>66251.199999999997</v>
      </c>
      <c r="AB291" s="146">
        <f t="shared" si="45"/>
        <v>2920</v>
      </c>
      <c r="AC291" s="147">
        <f t="shared" si="52"/>
        <v>0</v>
      </c>
      <c r="AD291" s="137">
        <v>47940.772732257697</v>
      </c>
      <c r="AE291" s="138">
        <v>0.17647058823529399</v>
      </c>
      <c r="AF291" s="137">
        <f t="shared" si="47"/>
        <v>8460.1363645160582</v>
      </c>
      <c r="AG291" s="137">
        <f t="shared" si="56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hidden="1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502</v>
      </c>
      <c r="F292" s="119" t="s">
        <v>503</v>
      </c>
      <c r="G292" s="119" t="s">
        <v>503</v>
      </c>
      <c r="H292" s="119" t="s">
        <v>503</v>
      </c>
      <c r="I292" s="131" t="s">
        <v>241</v>
      </c>
      <c r="J292" s="119" t="s">
        <v>242</v>
      </c>
      <c r="K292" s="119" t="s">
        <v>243</v>
      </c>
      <c r="L292" s="119" t="s">
        <v>503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9"/>
        <v>0</v>
      </c>
      <c r="U292" s="137">
        <f t="shared" si="53"/>
        <v>60000</v>
      </c>
      <c r="V292" s="137">
        <v>60001</v>
      </c>
      <c r="W292" s="137">
        <f t="shared" si="54"/>
        <v>-1</v>
      </c>
      <c r="X292" s="137">
        <f t="shared" si="50"/>
        <v>-1</v>
      </c>
      <c r="Y292" s="137">
        <f t="shared" si="55"/>
        <v>0</v>
      </c>
      <c r="Z292" s="137">
        <v>36010.400000000001</v>
      </c>
      <c r="AA292" s="137">
        <f t="shared" si="51"/>
        <v>23990.6</v>
      </c>
      <c r="AB292" s="146">
        <f t="shared" si="45"/>
        <v>36010.400000000001</v>
      </c>
      <c r="AC292" s="147">
        <f t="shared" si="52"/>
        <v>0</v>
      </c>
      <c r="AD292" s="137">
        <v>30186.349825017402</v>
      </c>
      <c r="AE292" s="138">
        <v>0.17647058823529399</v>
      </c>
      <c r="AF292" s="137">
        <f t="shared" si="47"/>
        <v>5327.0029102971848</v>
      </c>
      <c r="AG292" s="137">
        <f t="shared" si="56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hidden="1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504</v>
      </c>
      <c r="G293" s="119" t="s">
        <v>504</v>
      </c>
      <c r="H293" s="119" t="s">
        <v>504</v>
      </c>
      <c r="I293" s="119" t="s">
        <v>168</v>
      </c>
      <c r="J293" s="119" t="s">
        <v>169</v>
      </c>
      <c r="K293" s="119" t="s">
        <v>170</v>
      </c>
      <c r="L293" s="119" t="s">
        <v>504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9"/>
        <v>249200</v>
      </c>
      <c r="U293" s="137">
        <f t="shared" si="53"/>
        <v>6479200</v>
      </c>
      <c r="V293" s="137">
        <v>6217703.0999999996</v>
      </c>
      <c r="W293" s="137">
        <f t="shared" si="54"/>
        <v>261496.90000000037</v>
      </c>
      <c r="X293" s="137">
        <f t="shared" si="50"/>
        <v>251439.32692307729</v>
      </c>
      <c r="Y293" s="137">
        <f t="shared" si="55"/>
        <v>10057.573076923087</v>
      </c>
      <c r="Z293" s="137">
        <v>6435600.9000000004</v>
      </c>
      <c r="AA293" s="137">
        <f t="shared" si="51"/>
        <v>-217897.80000000075</v>
      </c>
      <c r="AB293" s="146">
        <f t="shared" ref="AB293:AB331" si="57">IF(O293="返货",Z293/(1+N293),IF(O293="返现",Z293,IF(O293="折扣",Z293*N293,IF(O293="无",Z293))))</f>
        <v>6188077.788461539</v>
      </c>
      <c r="AC293" s="147">
        <f t="shared" si="52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7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hidden="1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505</v>
      </c>
      <c r="H294" s="119" t="s">
        <v>505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9"/>
        <v>0</v>
      </c>
      <c r="U294" s="137">
        <f t="shared" si="53"/>
        <v>520000</v>
      </c>
      <c r="V294" s="137">
        <v>0</v>
      </c>
      <c r="W294" s="137">
        <f t="shared" si="54"/>
        <v>520000</v>
      </c>
      <c r="X294" s="137">
        <f t="shared" si="50"/>
        <v>520000</v>
      </c>
      <c r="Y294" s="137">
        <f t="shared" si="55"/>
        <v>0</v>
      </c>
      <c r="Z294" s="137">
        <v>0</v>
      </c>
      <c r="AA294" s="137">
        <f t="shared" si="51"/>
        <v>0</v>
      </c>
      <c r="AB294" s="146">
        <f t="shared" si="57"/>
        <v>0</v>
      </c>
      <c r="AC294" s="147">
        <f t="shared" si="52"/>
        <v>0</v>
      </c>
      <c r="AD294" s="137">
        <v>0</v>
      </c>
      <c r="AE294" s="138">
        <v>0.17647058823529399</v>
      </c>
      <c r="AF294" s="137">
        <f t="shared" si="47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hidden="1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9"/>
        <v>96666.999999999942</v>
      </c>
      <c r="U295" s="137">
        <f t="shared" si="53"/>
        <v>1546667</v>
      </c>
      <c r="V295" s="137">
        <v>1546667</v>
      </c>
      <c r="W295" s="137">
        <f t="shared" si="54"/>
        <v>0</v>
      </c>
      <c r="X295" s="137">
        <f t="shared" si="50"/>
        <v>0</v>
      </c>
      <c r="Y295" s="137">
        <f t="shared" si="55"/>
        <v>0</v>
      </c>
      <c r="Z295" s="137">
        <v>1740299.38</v>
      </c>
      <c r="AA295" s="137">
        <f t="shared" si="51"/>
        <v>0</v>
      </c>
      <c r="AB295" s="146">
        <f t="shared" si="57"/>
        <v>1631530.3171270867</v>
      </c>
      <c r="AC295" s="147">
        <f t="shared" si="52"/>
        <v>108769.0628729132</v>
      </c>
      <c r="AD295" s="137">
        <v>1740299.38</v>
      </c>
      <c r="AE295" s="135">
        <v>0.09</v>
      </c>
      <c r="AF295" s="137">
        <f t="shared" si="47"/>
        <v>156626.9442</v>
      </c>
      <c r="AG295" s="137">
        <v>156626.9442</v>
      </c>
      <c r="AH295" s="137"/>
      <c r="AI295" s="137"/>
      <c r="AJ295" s="135" t="s">
        <v>506</v>
      </c>
      <c r="AK295" s="153" t="s">
        <v>506</v>
      </c>
    </row>
    <row r="296" spans="1:39" s="119" customFormat="1" ht="15" hidden="1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9"/>
        <v>0</v>
      </c>
      <c r="U296" s="137">
        <f t="shared" si="53"/>
        <v>179065</v>
      </c>
      <c r="V296" s="137">
        <v>20000</v>
      </c>
      <c r="W296" s="137">
        <f t="shared" si="54"/>
        <v>159065</v>
      </c>
      <c r="X296" s="137">
        <f t="shared" si="50"/>
        <v>159065</v>
      </c>
      <c r="Y296" s="137">
        <f t="shared" si="55"/>
        <v>0</v>
      </c>
      <c r="Z296" s="137">
        <v>16653.5</v>
      </c>
      <c r="AA296" s="137">
        <f t="shared" si="51"/>
        <v>3346.5</v>
      </c>
      <c r="AB296" s="146">
        <f t="shared" si="57"/>
        <v>16653.5</v>
      </c>
      <c r="AC296" s="147">
        <f t="shared" si="52"/>
        <v>0</v>
      </c>
      <c r="AD296" s="137">
        <v>13960.088663578499</v>
      </c>
      <c r="AE296" s="138">
        <v>0.17647058823529399</v>
      </c>
      <c r="AF296" s="137">
        <f t="shared" si="47"/>
        <v>2463.545058278557</v>
      </c>
      <c r="AG296" s="137">
        <f t="shared" ref="AG296:AG304" si="58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hidden="1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507</v>
      </c>
      <c r="G297" s="119" t="s">
        <v>507</v>
      </c>
      <c r="H297" s="119" t="s">
        <v>507</v>
      </c>
      <c r="I297" s="131" t="s">
        <v>241</v>
      </c>
      <c r="J297" s="119" t="s">
        <v>242</v>
      </c>
      <c r="K297" s="119" t="s">
        <v>243</v>
      </c>
      <c r="L297" s="119" t="s">
        <v>508</v>
      </c>
      <c r="M297" s="119" t="s">
        <v>45</v>
      </c>
      <c r="N297" s="136">
        <v>0.02</v>
      </c>
      <c r="O297" s="135" t="s">
        <v>492</v>
      </c>
      <c r="P297" s="135"/>
      <c r="Q297" s="137">
        <v>0</v>
      </c>
      <c r="R297" s="137">
        <v>0</v>
      </c>
      <c r="S297" s="137">
        <v>2756.74</v>
      </c>
      <c r="T297" s="137">
        <f t="shared" si="49"/>
        <v>55.134799999999998</v>
      </c>
      <c r="U297" s="137">
        <f t="shared" si="53"/>
        <v>2811.8747999999996</v>
      </c>
      <c r="V297" s="137">
        <v>2814</v>
      </c>
      <c r="W297" s="137">
        <f t="shared" si="54"/>
        <v>-2.1252000000004045</v>
      </c>
      <c r="X297" s="137">
        <f t="shared" si="50"/>
        <v>-2.0835294117651024</v>
      </c>
      <c r="Y297" s="137">
        <f t="shared" si="55"/>
        <v>-4.167058823530212E-2</v>
      </c>
      <c r="Z297" s="137">
        <v>2813</v>
      </c>
      <c r="AA297" s="137">
        <f t="shared" si="51"/>
        <v>1</v>
      </c>
      <c r="AB297" s="146">
        <f t="shared" si="57"/>
        <v>2813</v>
      </c>
      <c r="AC297" s="147">
        <f t="shared" si="52"/>
        <v>56.26</v>
      </c>
      <c r="AD297" s="137">
        <v>2358.0466214697399</v>
      </c>
      <c r="AE297" s="138">
        <v>0.17647058823529399</v>
      </c>
      <c r="AF297" s="137">
        <f t="shared" si="47"/>
        <v>416.12587437701262</v>
      </c>
      <c r="AG297" s="137">
        <f t="shared" si="58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509</v>
      </c>
      <c r="G298" s="119" t="s">
        <v>509</v>
      </c>
      <c r="H298" s="119" t="s">
        <v>509</v>
      </c>
      <c r="I298" s="131" t="s">
        <v>241</v>
      </c>
      <c r="J298" s="119" t="s">
        <v>242</v>
      </c>
      <c r="K298" s="119" t="s">
        <v>243</v>
      </c>
      <c r="L298" s="119" t="s">
        <v>509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9"/>
        <v>0</v>
      </c>
      <c r="U298" s="137">
        <f t="shared" si="53"/>
        <v>200000</v>
      </c>
      <c r="V298" s="137">
        <v>197000</v>
      </c>
      <c r="W298" s="137">
        <f t="shared" si="54"/>
        <v>3000</v>
      </c>
      <c r="X298" s="137">
        <f t="shared" si="50"/>
        <v>3000</v>
      </c>
      <c r="Y298" s="137">
        <f t="shared" si="55"/>
        <v>0</v>
      </c>
      <c r="Z298" s="137">
        <v>176628.2</v>
      </c>
      <c r="AA298" s="137">
        <f t="shared" si="51"/>
        <v>20371.799999999988</v>
      </c>
      <c r="AB298" s="146">
        <f t="shared" si="57"/>
        <v>176628.2</v>
      </c>
      <c r="AC298" s="147">
        <f t="shared" si="52"/>
        <v>0</v>
      </c>
      <c r="AD298" s="137">
        <v>148061.688683357</v>
      </c>
      <c r="AE298" s="138">
        <v>0.17647058823529399</v>
      </c>
      <c r="AF298" s="137">
        <f t="shared" si="47"/>
        <v>26128.533297062982</v>
      </c>
      <c r="AG298" s="137">
        <f t="shared" si="58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hidden="1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510</v>
      </c>
      <c r="G299" s="119" t="s">
        <v>510</v>
      </c>
      <c r="H299" s="119" t="s">
        <v>510</v>
      </c>
      <c r="I299" s="131" t="s">
        <v>241</v>
      </c>
      <c r="J299" s="119" t="s">
        <v>242</v>
      </c>
      <c r="K299" s="119" t="s">
        <v>243</v>
      </c>
      <c r="L299" s="119" t="s">
        <v>510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9"/>
        <v>0</v>
      </c>
      <c r="U299" s="137">
        <f t="shared" si="53"/>
        <v>480000</v>
      </c>
      <c r="V299" s="137">
        <v>540626</v>
      </c>
      <c r="W299" s="137">
        <f t="shared" si="54"/>
        <v>-60626</v>
      </c>
      <c r="X299" s="137">
        <f t="shared" si="50"/>
        <v>-60626</v>
      </c>
      <c r="Y299" s="137">
        <f t="shared" si="55"/>
        <v>0</v>
      </c>
      <c r="Z299" s="137">
        <v>523634.25</v>
      </c>
      <c r="AA299" s="137">
        <f t="shared" si="51"/>
        <v>16991.75</v>
      </c>
      <c r="AB299" s="146">
        <f t="shared" si="57"/>
        <v>523634.25</v>
      </c>
      <c r="AC299" s="147">
        <f t="shared" si="52"/>
        <v>0</v>
      </c>
      <c r="AD299" s="137">
        <v>438945.60046155099</v>
      </c>
      <c r="AE299" s="138">
        <v>0.17647058823529399</v>
      </c>
      <c r="AF299" s="137">
        <f t="shared" si="47"/>
        <v>77460.988316744231</v>
      </c>
      <c r="AG299" s="137">
        <f t="shared" si="58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hidden="1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511</v>
      </c>
      <c r="G300" s="119" t="s">
        <v>512</v>
      </c>
      <c r="H300" s="119" t="s">
        <v>513</v>
      </c>
      <c r="I300" s="131" t="s">
        <v>241</v>
      </c>
      <c r="J300" s="119" t="s">
        <v>242</v>
      </c>
      <c r="K300" s="119" t="s">
        <v>243</v>
      </c>
      <c r="L300" s="119" t="s">
        <v>511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9"/>
        <v>0</v>
      </c>
      <c r="U300" s="137">
        <f t="shared" si="53"/>
        <v>20000</v>
      </c>
      <c r="V300" s="137">
        <v>20000</v>
      </c>
      <c r="W300" s="137">
        <f t="shared" si="54"/>
        <v>0</v>
      </c>
      <c r="X300" s="137">
        <f t="shared" si="50"/>
        <v>0</v>
      </c>
      <c r="Y300" s="137">
        <f t="shared" si="55"/>
        <v>0</v>
      </c>
      <c r="Z300" s="137">
        <v>18</v>
      </c>
      <c r="AA300" s="137">
        <f t="shared" si="51"/>
        <v>19982</v>
      </c>
      <c r="AB300" s="146">
        <f t="shared" si="57"/>
        <v>18</v>
      </c>
      <c r="AC300" s="147">
        <f t="shared" si="52"/>
        <v>0</v>
      </c>
      <c r="AD300" s="137">
        <v>15.088815921242601</v>
      </c>
      <c r="AE300" s="138">
        <v>0.17647058823529399</v>
      </c>
      <c r="AF300" s="137">
        <f t="shared" si="47"/>
        <v>2.6627322213957512</v>
      </c>
      <c r="AG300" s="137">
        <f t="shared" si="58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hidden="1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9"/>
        <v>0</v>
      </c>
      <c r="U301" s="137">
        <f t="shared" si="53"/>
        <v>618837.5</v>
      </c>
      <c r="V301" s="137">
        <v>420000</v>
      </c>
      <c r="W301" s="137">
        <f t="shared" si="54"/>
        <v>198837.5</v>
      </c>
      <c r="X301" s="137">
        <f t="shared" si="50"/>
        <v>198837.5</v>
      </c>
      <c r="Y301" s="137">
        <f t="shared" si="55"/>
        <v>0</v>
      </c>
      <c r="Z301" s="137">
        <v>475496.5</v>
      </c>
      <c r="AA301" s="137">
        <f t="shared" si="51"/>
        <v>-55496.5</v>
      </c>
      <c r="AB301" s="146">
        <f t="shared" si="57"/>
        <v>475496.5</v>
      </c>
      <c r="AC301" s="147">
        <f t="shared" si="52"/>
        <v>0</v>
      </c>
      <c r="AD301" s="137">
        <v>398593.28664972901</v>
      </c>
      <c r="AE301" s="138">
        <v>0.17647058823529399</v>
      </c>
      <c r="AF301" s="137">
        <f t="shared" si="47"/>
        <v>70339.991761716839</v>
      </c>
      <c r="AG301" s="137">
        <f t="shared" si="58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hidden="1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9"/>
        <v>0</v>
      </c>
      <c r="U302" s="137">
        <f t="shared" si="53"/>
        <v>712010</v>
      </c>
      <c r="V302" s="137">
        <v>678580</v>
      </c>
      <c r="W302" s="137">
        <f t="shared" si="54"/>
        <v>33430</v>
      </c>
      <c r="X302" s="137">
        <f t="shared" si="50"/>
        <v>33430</v>
      </c>
      <c r="Y302" s="137">
        <f t="shared" si="55"/>
        <v>0</v>
      </c>
      <c r="Z302" s="137">
        <v>636927.02</v>
      </c>
      <c r="AA302" s="137">
        <f t="shared" si="51"/>
        <v>41652.979999999981</v>
      </c>
      <c r="AB302" s="146">
        <f t="shared" si="57"/>
        <v>636927.02</v>
      </c>
      <c r="AC302" s="147">
        <f t="shared" si="52"/>
        <v>0</v>
      </c>
      <c r="AD302" s="137">
        <v>533915.25333586603</v>
      </c>
      <c r="AE302" s="138">
        <v>0.17647058823529399</v>
      </c>
      <c r="AF302" s="137">
        <f t="shared" si="47"/>
        <v>94220.338823976286</v>
      </c>
      <c r="AG302" s="137">
        <f t="shared" si="58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hidden="1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9"/>
        <v>0</v>
      </c>
      <c r="U303" s="137">
        <f t="shared" si="53"/>
        <v>300000</v>
      </c>
      <c r="V303" s="137">
        <v>362500</v>
      </c>
      <c r="W303" s="137">
        <f t="shared" si="54"/>
        <v>-62500</v>
      </c>
      <c r="X303" s="137">
        <f t="shared" si="50"/>
        <v>-62500</v>
      </c>
      <c r="Y303" s="137">
        <f t="shared" si="55"/>
        <v>0</v>
      </c>
      <c r="Z303" s="137">
        <v>256002.78</v>
      </c>
      <c r="AA303" s="137">
        <f t="shared" si="51"/>
        <v>106497.22</v>
      </c>
      <c r="AB303" s="146">
        <f t="shared" si="57"/>
        <v>256002.78</v>
      </c>
      <c r="AC303" s="147">
        <f t="shared" si="52"/>
        <v>0</v>
      </c>
      <c r="AD303" s="137">
        <v>214598.823485909</v>
      </c>
      <c r="AE303" s="138">
        <v>0.17647058823529399</v>
      </c>
      <c r="AF303" s="137">
        <f t="shared" ref="AF303:AF366" si="59">AD303*AE303</f>
        <v>37870.380615160386</v>
      </c>
      <c r="AG303" s="137">
        <f t="shared" si="58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hidden="1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514</v>
      </c>
      <c r="G304" s="119" t="s">
        <v>514</v>
      </c>
      <c r="H304" s="119" t="s">
        <v>514</v>
      </c>
      <c r="I304" s="131" t="s">
        <v>241</v>
      </c>
      <c r="J304" s="119" t="s">
        <v>242</v>
      </c>
      <c r="K304" s="119" t="s">
        <v>243</v>
      </c>
      <c r="L304" s="119" t="s">
        <v>514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9"/>
        <v>0</v>
      </c>
      <c r="U304" s="137">
        <f t="shared" si="53"/>
        <v>710000</v>
      </c>
      <c r="V304" s="137">
        <v>534000</v>
      </c>
      <c r="W304" s="137">
        <f t="shared" si="54"/>
        <v>176000</v>
      </c>
      <c r="X304" s="137">
        <f t="shared" si="50"/>
        <v>176000</v>
      </c>
      <c r="Y304" s="137">
        <f t="shared" si="55"/>
        <v>0</v>
      </c>
      <c r="Z304" s="137">
        <v>571542.06000000006</v>
      </c>
      <c r="AA304" s="137">
        <f t="shared" si="51"/>
        <v>-37542.060000000056</v>
      </c>
      <c r="AB304" s="146">
        <f t="shared" si="57"/>
        <v>571542.06000000006</v>
      </c>
      <c r="AC304" s="147">
        <f t="shared" si="52"/>
        <v>0</v>
      </c>
      <c r="AD304" s="137">
        <v>479105.16303265397</v>
      </c>
      <c r="AE304" s="138">
        <v>0.17647058823529399</v>
      </c>
      <c r="AF304" s="137">
        <f t="shared" si="59"/>
        <v>84547.969946938872</v>
      </c>
      <c r="AG304" s="137">
        <f t="shared" si="58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hidden="1" customHeight="1" x14ac:dyDescent="0.3">
      <c r="A305" s="119">
        <v>2017</v>
      </c>
      <c r="B305" s="119" t="s">
        <v>250</v>
      </c>
      <c r="C305" s="119" t="s">
        <v>74</v>
      </c>
      <c r="D305" s="119" t="s">
        <v>515</v>
      </c>
      <c r="F305" s="131" t="s">
        <v>516</v>
      </c>
      <c r="G305" s="131" t="s">
        <v>517</v>
      </c>
      <c r="H305" s="131" t="s">
        <v>518</v>
      </c>
      <c r="I305" s="131" t="s">
        <v>202</v>
      </c>
      <c r="J305" s="119" t="s">
        <v>203</v>
      </c>
      <c r="K305" s="119" t="s">
        <v>204</v>
      </c>
      <c r="L305" s="119" t="s">
        <v>516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9"/>
        <v>0</v>
      </c>
      <c r="U305" s="137">
        <f t="shared" si="53"/>
        <v>0</v>
      </c>
      <c r="V305" s="137">
        <v>0</v>
      </c>
      <c r="W305" s="137">
        <f t="shared" si="54"/>
        <v>0</v>
      </c>
      <c r="X305" s="137">
        <f t="shared" si="50"/>
        <v>0</v>
      </c>
      <c r="Y305" s="137">
        <f t="shared" si="55"/>
        <v>0</v>
      </c>
      <c r="Z305" s="137">
        <v>191616.96</v>
      </c>
      <c r="AA305" s="137">
        <f t="shared" si="51"/>
        <v>-191616.96</v>
      </c>
      <c r="AB305" s="146">
        <f t="shared" si="57"/>
        <v>177423.11111111109</v>
      </c>
      <c r="AC305" s="147">
        <f t="shared" si="52"/>
        <v>14193.848888888897</v>
      </c>
      <c r="AD305" s="137">
        <v>191616.96</v>
      </c>
      <c r="AE305" s="138">
        <v>0.2</v>
      </c>
      <c r="AF305" s="137">
        <f t="shared" si="59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hidden="1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9"/>
        <v>63750</v>
      </c>
      <c r="U306" s="137">
        <f t="shared" si="53"/>
        <v>1338750</v>
      </c>
      <c r="V306" s="137">
        <v>205000</v>
      </c>
      <c r="W306" s="137">
        <f t="shared" si="54"/>
        <v>1133750</v>
      </c>
      <c r="X306" s="137">
        <f t="shared" si="50"/>
        <v>1079761.9047619046</v>
      </c>
      <c r="Y306" s="137">
        <f t="shared" si="55"/>
        <v>53988.095238095382</v>
      </c>
      <c r="Z306" s="137">
        <v>188828</v>
      </c>
      <c r="AA306" s="137">
        <f t="shared" si="51"/>
        <v>16172</v>
      </c>
      <c r="AB306" s="146">
        <f>IF(O306="返货",Z306/(1+N306),IF(O306="返现",Z306,IF(O306="折扣",Z306*N306,IF(O306="无",Z306))))+1229.053</f>
        <v>181065.24347619049</v>
      </c>
      <c r="AC306" s="147">
        <f t="shared" si="52"/>
        <v>7762.7565238095121</v>
      </c>
      <c r="AD306" s="137">
        <v>0</v>
      </c>
      <c r="AE306" s="138">
        <v>0.17647058823529399</v>
      </c>
      <c r="AF306" s="137">
        <f t="shared" si="59"/>
        <v>0</v>
      </c>
      <c r="AG306" s="137">
        <f t="shared" ref="AG306:AG324" si="60">AB306-Z306+AF306</f>
        <v>-7762.7565238095121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hidden="1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9"/>
        <v>0</v>
      </c>
      <c r="U307" s="137">
        <f t="shared" si="53"/>
        <v>20000</v>
      </c>
      <c r="V307" s="137">
        <v>33042.5</v>
      </c>
      <c r="W307" s="137">
        <f t="shared" si="54"/>
        <v>-13042.5</v>
      </c>
      <c r="X307" s="137">
        <f t="shared" si="50"/>
        <v>-13042.5</v>
      </c>
      <c r="Y307" s="137">
        <f t="shared" si="55"/>
        <v>0</v>
      </c>
      <c r="Z307" s="137">
        <v>20020.5</v>
      </c>
      <c r="AA307" s="137">
        <f t="shared" si="51"/>
        <v>13022</v>
      </c>
      <c r="AB307" s="146">
        <f t="shared" si="57"/>
        <v>20020.5</v>
      </c>
      <c r="AC307" s="147">
        <f t="shared" si="52"/>
        <v>0</v>
      </c>
      <c r="AD307" s="137">
        <v>16782.535508402099</v>
      </c>
      <c r="AE307" s="138">
        <v>0.17647058823529399</v>
      </c>
      <c r="AF307" s="137">
        <f t="shared" si="59"/>
        <v>2961.623913247427</v>
      </c>
      <c r="AG307" s="137">
        <f t="shared" si="60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hidden="1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9"/>
        <v>0</v>
      </c>
      <c r="U308" s="137">
        <f t="shared" si="53"/>
        <v>28800</v>
      </c>
      <c r="V308" s="137">
        <v>0</v>
      </c>
      <c r="W308" s="137">
        <f t="shared" si="54"/>
        <v>28800</v>
      </c>
      <c r="X308" s="137">
        <f t="shared" si="50"/>
        <v>28800</v>
      </c>
      <c r="Y308" s="137">
        <f t="shared" si="55"/>
        <v>0</v>
      </c>
      <c r="Z308" s="137">
        <f t="shared" ref="Z308:Z324" si="61">S308</f>
        <v>28800</v>
      </c>
      <c r="AA308" s="137">
        <f t="shared" si="51"/>
        <v>-28800</v>
      </c>
      <c r="AB308" s="146">
        <f t="shared" si="57"/>
        <v>28800</v>
      </c>
      <c r="AC308" s="147">
        <f t="shared" si="52"/>
        <v>0</v>
      </c>
      <c r="AD308" s="137">
        <v>24000</v>
      </c>
      <c r="AE308" s="138">
        <v>0</v>
      </c>
      <c r="AF308" s="137">
        <f t="shared" si="59"/>
        <v>0</v>
      </c>
      <c r="AG308" s="137">
        <f t="shared" si="60"/>
        <v>0</v>
      </c>
      <c r="AH308" s="154"/>
      <c r="AI308" s="154"/>
      <c r="AJ308" s="135" t="s">
        <v>519</v>
      </c>
      <c r="AK308" s="119" t="s">
        <v>519</v>
      </c>
      <c r="AL308" s="119" t="s">
        <v>520</v>
      </c>
      <c r="AM308" s="131"/>
    </row>
    <row r="309" spans="1:39" s="119" customFormat="1" ht="15" hidden="1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9"/>
        <v>0</v>
      </c>
      <c r="U309" s="137">
        <f t="shared" si="53"/>
        <v>215900</v>
      </c>
      <c r="V309" s="137">
        <v>0</v>
      </c>
      <c r="W309" s="137">
        <f t="shared" si="54"/>
        <v>215900</v>
      </c>
      <c r="X309" s="137">
        <f t="shared" si="50"/>
        <v>215900</v>
      </c>
      <c r="Y309" s="137">
        <f t="shared" si="55"/>
        <v>0</v>
      </c>
      <c r="Z309" s="137">
        <f t="shared" si="61"/>
        <v>215900</v>
      </c>
      <c r="AA309" s="137">
        <f t="shared" si="51"/>
        <v>-215900</v>
      </c>
      <c r="AB309" s="146">
        <f t="shared" si="57"/>
        <v>215900</v>
      </c>
      <c r="AC309" s="147">
        <f t="shared" si="52"/>
        <v>0</v>
      </c>
      <c r="AD309" s="137">
        <v>185000</v>
      </c>
      <c r="AE309" s="138">
        <v>0</v>
      </c>
      <c r="AF309" s="137">
        <f t="shared" si="59"/>
        <v>0</v>
      </c>
      <c r="AG309" s="137">
        <f t="shared" si="60"/>
        <v>0</v>
      </c>
      <c r="AH309" s="154"/>
      <c r="AI309" s="154"/>
      <c r="AJ309" s="135" t="s">
        <v>46</v>
      </c>
      <c r="AK309" s="119" t="s">
        <v>46</v>
      </c>
      <c r="AL309" s="119" t="s">
        <v>520</v>
      </c>
      <c r="AM309" s="131"/>
    </row>
    <row r="310" spans="1:39" s="119" customFormat="1" ht="15" hidden="1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9"/>
        <v>0</v>
      </c>
      <c r="U310" s="137">
        <f t="shared" si="53"/>
        <v>292400</v>
      </c>
      <c r="V310" s="137">
        <v>0</v>
      </c>
      <c r="W310" s="137">
        <f t="shared" si="54"/>
        <v>292400</v>
      </c>
      <c r="X310" s="137">
        <f t="shared" si="50"/>
        <v>292400</v>
      </c>
      <c r="Y310" s="137">
        <f t="shared" si="55"/>
        <v>0</v>
      </c>
      <c r="Z310" s="137">
        <f t="shared" si="61"/>
        <v>292400</v>
      </c>
      <c r="AA310" s="137">
        <f t="shared" si="51"/>
        <v>-292400</v>
      </c>
      <c r="AB310" s="146">
        <f t="shared" si="57"/>
        <v>292400</v>
      </c>
      <c r="AC310" s="147">
        <f t="shared" si="52"/>
        <v>0</v>
      </c>
      <c r="AD310" s="137">
        <v>0</v>
      </c>
      <c r="AE310" s="138">
        <v>0</v>
      </c>
      <c r="AF310" s="137">
        <f t="shared" si="59"/>
        <v>0</v>
      </c>
      <c r="AG310" s="137">
        <f t="shared" si="60"/>
        <v>0</v>
      </c>
      <c r="AH310" s="154"/>
      <c r="AI310" s="154"/>
      <c r="AJ310" s="135" t="s">
        <v>46</v>
      </c>
      <c r="AK310" s="119" t="s">
        <v>46</v>
      </c>
      <c r="AL310" s="119" t="s">
        <v>520</v>
      </c>
      <c r="AM310" s="131"/>
    </row>
    <row r="311" spans="1:39" s="119" customFormat="1" ht="15" hidden="1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439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9"/>
        <v>0</v>
      </c>
      <c r="U311" s="137">
        <f t="shared" si="53"/>
        <v>240000</v>
      </c>
      <c r="V311" s="137">
        <v>0</v>
      </c>
      <c r="W311" s="137">
        <f t="shared" si="54"/>
        <v>240000</v>
      </c>
      <c r="X311" s="137">
        <f t="shared" si="50"/>
        <v>240000</v>
      </c>
      <c r="Y311" s="137">
        <f t="shared" si="55"/>
        <v>0</v>
      </c>
      <c r="Z311" s="137">
        <f t="shared" si="61"/>
        <v>240000</v>
      </c>
      <c r="AA311" s="137">
        <f t="shared" si="51"/>
        <v>-240000</v>
      </c>
      <c r="AB311" s="146">
        <f t="shared" si="57"/>
        <v>240000</v>
      </c>
      <c r="AC311" s="147">
        <f t="shared" si="52"/>
        <v>0</v>
      </c>
      <c r="AD311" s="137">
        <v>202500</v>
      </c>
      <c r="AE311" s="138">
        <v>0</v>
      </c>
      <c r="AF311" s="137">
        <f t="shared" si="59"/>
        <v>0</v>
      </c>
      <c r="AG311" s="137">
        <f t="shared" si="60"/>
        <v>0</v>
      </c>
      <c r="AH311" s="154"/>
      <c r="AI311" s="154"/>
      <c r="AJ311" s="135" t="s">
        <v>46</v>
      </c>
      <c r="AK311" s="119" t="s">
        <v>46</v>
      </c>
      <c r="AL311" s="119" t="s">
        <v>520</v>
      </c>
      <c r="AM311" s="131"/>
    </row>
    <row r="312" spans="1:39" s="119" customFormat="1" ht="15" hidden="1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9"/>
        <v>0</v>
      </c>
      <c r="U312" s="137">
        <f t="shared" si="53"/>
        <v>155000</v>
      </c>
      <c r="V312" s="137">
        <v>0</v>
      </c>
      <c r="W312" s="137">
        <f t="shared" si="54"/>
        <v>155000</v>
      </c>
      <c r="X312" s="137">
        <f t="shared" si="50"/>
        <v>155000</v>
      </c>
      <c r="Y312" s="137">
        <f t="shared" si="55"/>
        <v>0</v>
      </c>
      <c r="Z312" s="137">
        <f t="shared" si="61"/>
        <v>155000</v>
      </c>
      <c r="AA312" s="137">
        <f t="shared" si="51"/>
        <v>-155000</v>
      </c>
      <c r="AB312" s="146">
        <f t="shared" si="57"/>
        <v>155000</v>
      </c>
      <c r="AC312" s="147">
        <f t="shared" si="52"/>
        <v>0</v>
      </c>
      <c r="AD312" s="137">
        <v>133750</v>
      </c>
      <c r="AE312" s="138">
        <v>0</v>
      </c>
      <c r="AF312" s="137">
        <f t="shared" si="59"/>
        <v>0</v>
      </c>
      <c r="AG312" s="137">
        <f t="shared" si="60"/>
        <v>0</v>
      </c>
      <c r="AH312" s="154"/>
      <c r="AI312" s="154"/>
      <c r="AJ312" s="135" t="s">
        <v>46</v>
      </c>
      <c r="AK312" s="119" t="s">
        <v>46</v>
      </c>
      <c r="AL312" s="119" t="s">
        <v>520</v>
      </c>
      <c r="AM312" s="131"/>
    </row>
    <row r="313" spans="1:39" s="119" customFormat="1" ht="15" hidden="1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521</v>
      </c>
      <c r="H313" s="119" t="s">
        <v>521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9"/>
        <v>0</v>
      </c>
      <c r="U313" s="137">
        <f t="shared" si="53"/>
        <v>149000</v>
      </c>
      <c r="V313" s="137">
        <v>0</v>
      </c>
      <c r="W313" s="137">
        <f t="shared" si="54"/>
        <v>149000</v>
      </c>
      <c r="X313" s="137">
        <f t="shared" si="50"/>
        <v>149000</v>
      </c>
      <c r="Y313" s="137">
        <f t="shared" si="55"/>
        <v>0</v>
      </c>
      <c r="Z313" s="137">
        <f t="shared" si="61"/>
        <v>149000</v>
      </c>
      <c r="AA313" s="137">
        <f t="shared" si="51"/>
        <v>-149000</v>
      </c>
      <c r="AB313" s="146">
        <f t="shared" si="57"/>
        <v>149000</v>
      </c>
      <c r="AC313" s="147">
        <f t="shared" si="52"/>
        <v>0</v>
      </c>
      <c r="AD313" s="137">
        <v>135000</v>
      </c>
      <c r="AE313" s="138">
        <v>0</v>
      </c>
      <c r="AF313" s="137">
        <f t="shared" si="59"/>
        <v>0</v>
      </c>
      <c r="AG313" s="137">
        <f t="shared" si="60"/>
        <v>0</v>
      </c>
      <c r="AH313" s="154"/>
      <c r="AI313" s="154"/>
      <c r="AJ313" s="136">
        <v>0.6</v>
      </c>
      <c r="AK313" s="156">
        <v>0.6</v>
      </c>
      <c r="AL313" s="119" t="s">
        <v>520</v>
      </c>
      <c r="AM313" s="131"/>
    </row>
    <row r="314" spans="1:39" s="119" customFormat="1" ht="15" hidden="1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9"/>
        <v>0</v>
      </c>
      <c r="U314" s="137">
        <f t="shared" si="53"/>
        <v>19200</v>
      </c>
      <c r="V314" s="137">
        <v>0</v>
      </c>
      <c r="W314" s="137">
        <f t="shared" si="54"/>
        <v>19200</v>
      </c>
      <c r="X314" s="137">
        <f t="shared" si="50"/>
        <v>19200</v>
      </c>
      <c r="Y314" s="137">
        <f t="shared" si="55"/>
        <v>0</v>
      </c>
      <c r="Z314" s="137">
        <f t="shared" si="61"/>
        <v>19200</v>
      </c>
      <c r="AA314" s="137">
        <f t="shared" si="51"/>
        <v>-19200</v>
      </c>
      <c r="AB314" s="146">
        <f t="shared" si="57"/>
        <v>19200</v>
      </c>
      <c r="AC314" s="147">
        <f t="shared" si="52"/>
        <v>0</v>
      </c>
      <c r="AD314" s="137">
        <v>12000</v>
      </c>
      <c r="AE314" s="138">
        <v>0</v>
      </c>
      <c r="AF314" s="137">
        <f t="shared" si="59"/>
        <v>0</v>
      </c>
      <c r="AG314" s="137">
        <f t="shared" si="60"/>
        <v>0</v>
      </c>
      <c r="AH314" s="154"/>
      <c r="AI314" s="154"/>
      <c r="AJ314" s="135" t="s">
        <v>522</v>
      </c>
      <c r="AK314" s="119" t="s">
        <v>522</v>
      </c>
      <c r="AL314" s="119" t="s">
        <v>520</v>
      </c>
      <c r="AM314" s="131"/>
    </row>
    <row r="315" spans="1:39" s="119" customFormat="1" ht="15" hidden="1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471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9"/>
        <v>0</v>
      </c>
      <c r="U315" s="137">
        <f t="shared" si="53"/>
        <v>240000</v>
      </c>
      <c r="V315" s="137">
        <v>532400</v>
      </c>
      <c r="W315" s="137">
        <f t="shared" si="54"/>
        <v>-292400</v>
      </c>
      <c r="X315" s="137">
        <f t="shared" si="50"/>
        <v>-292400</v>
      </c>
      <c r="Y315" s="137">
        <f t="shared" si="55"/>
        <v>0</v>
      </c>
      <c r="Z315" s="137">
        <f t="shared" si="61"/>
        <v>240000</v>
      </c>
      <c r="AA315" s="137">
        <f t="shared" si="51"/>
        <v>292400</v>
      </c>
      <c r="AB315" s="146">
        <f t="shared" si="57"/>
        <v>240000</v>
      </c>
      <c r="AC315" s="147">
        <f t="shared" si="52"/>
        <v>0</v>
      </c>
      <c r="AD315" s="137">
        <v>437000</v>
      </c>
      <c r="AE315" s="138">
        <v>0</v>
      </c>
      <c r="AF315" s="137">
        <f t="shared" si="59"/>
        <v>0</v>
      </c>
      <c r="AG315" s="137">
        <f t="shared" si="60"/>
        <v>0</v>
      </c>
      <c r="AH315" s="154"/>
      <c r="AI315" s="154"/>
      <c r="AJ315" s="136">
        <v>0.6</v>
      </c>
      <c r="AK315" s="156">
        <v>0.6</v>
      </c>
      <c r="AL315" s="119" t="s">
        <v>520</v>
      </c>
      <c r="AM315" s="131"/>
    </row>
    <row r="316" spans="1:39" s="119" customFormat="1" ht="15" hidden="1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9"/>
        <v>0</v>
      </c>
      <c r="U316" s="137">
        <f t="shared" si="53"/>
        <v>105000</v>
      </c>
      <c r="V316" s="137">
        <v>0</v>
      </c>
      <c r="W316" s="137">
        <f t="shared" si="54"/>
        <v>105000</v>
      </c>
      <c r="X316" s="137">
        <f t="shared" si="50"/>
        <v>105000</v>
      </c>
      <c r="Y316" s="137">
        <f t="shared" si="55"/>
        <v>0</v>
      </c>
      <c r="Z316" s="137">
        <f t="shared" si="61"/>
        <v>105000</v>
      </c>
      <c r="AA316" s="137">
        <f t="shared" si="51"/>
        <v>-105000</v>
      </c>
      <c r="AB316" s="146">
        <f t="shared" si="57"/>
        <v>105000</v>
      </c>
      <c r="AC316" s="147">
        <f t="shared" si="52"/>
        <v>0</v>
      </c>
      <c r="AD316" s="137">
        <v>78750</v>
      </c>
      <c r="AE316" s="138">
        <v>0</v>
      </c>
      <c r="AF316" s="137">
        <f t="shared" si="59"/>
        <v>0</v>
      </c>
      <c r="AG316" s="137">
        <f t="shared" si="60"/>
        <v>0</v>
      </c>
      <c r="AH316" s="154"/>
      <c r="AI316" s="154"/>
      <c r="AJ316" s="136">
        <v>0</v>
      </c>
      <c r="AK316" s="119">
        <v>0</v>
      </c>
      <c r="AL316" s="119" t="s">
        <v>520</v>
      </c>
      <c r="AM316" s="131"/>
    </row>
    <row r="317" spans="1:39" s="119" customFormat="1" ht="15" hidden="1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523</v>
      </c>
      <c r="G317" s="119" t="s">
        <v>523</v>
      </c>
      <c r="H317" s="119" t="s">
        <v>523</v>
      </c>
      <c r="I317" s="131" t="s">
        <v>241</v>
      </c>
      <c r="J317" s="119" t="s">
        <v>242</v>
      </c>
      <c r="K317" s="119" t="s">
        <v>243</v>
      </c>
      <c r="L317" s="119" t="s">
        <v>523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9"/>
        <v>0</v>
      </c>
      <c r="U317" s="137">
        <f t="shared" si="53"/>
        <v>99000</v>
      </c>
      <c r="V317" s="137">
        <v>0</v>
      </c>
      <c r="W317" s="137">
        <f t="shared" si="54"/>
        <v>99000</v>
      </c>
      <c r="X317" s="137">
        <f t="shared" si="50"/>
        <v>99000</v>
      </c>
      <c r="Y317" s="137">
        <f t="shared" si="55"/>
        <v>0</v>
      </c>
      <c r="Z317" s="137">
        <f t="shared" si="61"/>
        <v>99000</v>
      </c>
      <c r="AA317" s="137">
        <f t="shared" si="51"/>
        <v>-99000</v>
      </c>
      <c r="AB317" s="146">
        <f t="shared" si="57"/>
        <v>99000</v>
      </c>
      <c r="AC317" s="147">
        <f t="shared" si="52"/>
        <v>0</v>
      </c>
      <c r="AD317" s="137">
        <v>90000</v>
      </c>
      <c r="AE317" s="138">
        <v>0</v>
      </c>
      <c r="AF317" s="137">
        <f t="shared" si="59"/>
        <v>0</v>
      </c>
      <c r="AG317" s="137">
        <f t="shared" si="60"/>
        <v>0</v>
      </c>
      <c r="AH317" s="154"/>
      <c r="AI317" s="154"/>
      <c r="AJ317" s="136">
        <v>0.6</v>
      </c>
      <c r="AK317" s="156">
        <v>0.6</v>
      </c>
      <c r="AL317" s="119" t="s">
        <v>520</v>
      </c>
      <c r="AM317" s="131"/>
    </row>
    <row r="318" spans="1:39" s="119" customFormat="1" ht="15" hidden="1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9"/>
        <v>0</v>
      </c>
      <c r="U318" s="137">
        <f t="shared" si="53"/>
        <v>60000</v>
      </c>
      <c r="V318" s="137">
        <v>0</v>
      </c>
      <c r="W318" s="137">
        <f t="shared" si="54"/>
        <v>60000</v>
      </c>
      <c r="X318" s="137">
        <f t="shared" si="50"/>
        <v>60000</v>
      </c>
      <c r="Y318" s="137">
        <f t="shared" si="55"/>
        <v>0</v>
      </c>
      <c r="Z318" s="137">
        <f t="shared" si="61"/>
        <v>60000</v>
      </c>
      <c r="AA318" s="137">
        <f t="shared" si="51"/>
        <v>-60000</v>
      </c>
      <c r="AB318" s="146">
        <f t="shared" si="57"/>
        <v>60000</v>
      </c>
      <c r="AC318" s="147">
        <f t="shared" si="52"/>
        <v>0</v>
      </c>
      <c r="AD318" s="137">
        <v>45000</v>
      </c>
      <c r="AE318" s="138">
        <v>0</v>
      </c>
      <c r="AF318" s="137">
        <f t="shared" si="59"/>
        <v>0</v>
      </c>
      <c r="AG318" s="137">
        <f t="shared" si="60"/>
        <v>0</v>
      </c>
      <c r="AH318" s="154"/>
      <c r="AI318" s="154"/>
      <c r="AJ318" s="135" t="s">
        <v>46</v>
      </c>
      <c r="AK318" s="119" t="s">
        <v>46</v>
      </c>
      <c r="AL318" s="119" t="s">
        <v>520</v>
      </c>
      <c r="AM318" s="131"/>
    </row>
    <row r="319" spans="1:39" s="119" customFormat="1" ht="15" hidden="1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524</v>
      </c>
      <c r="G319" s="119" t="s">
        <v>524</v>
      </c>
      <c r="H319" s="119" t="s">
        <v>524</v>
      </c>
      <c r="I319" s="131" t="s">
        <v>241</v>
      </c>
      <c r="J319" s="119" t="s">
        <v>242</v>
      </c>
      <c r="K319" s="119" t="s">
        <v>243</v>
      </c>
      <c r="L319" s="119" t="s">
        <v>525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9"/>
        <v>0</v>
      </c>
      <c r="U319" s="137">
        <f t="shared" si="53"/>
        <v>133500</v>
      </c>
      <c r="V319" s="137">
        <v>0</v>
      </c>
      <c r="W319" s="137">
        <f t="shared" si="54"/>
        <v>133500</v>
      </c>
      <c r="X319" s="137">
        <f t="shared" si="50"/>
        <v>133500</v>
      </c>
      <c r="Y319" s="137">
        <f t="shared" si="55"/>
        <v>0</v>
      </c>
      <c r="Z319" s="137">
        <f t="shared" si="61"/>
        <v>133500</v>
      </c>
      <c r="AA319" s="137">
        <f t="shared" si="51"/>
        <v>-133500</v>
      </c>
      <c r="AB319" s="146">
        <f t="shared" si="57"/>
        <v>133500</v>
      </c>
      <c r="AC319" s="147">
        <f t="shared" si="52"/>
        <v>0</v>
      </c>
      <c r="AD319" s="137">
        <v>106000</v>
      </c>
      <c r="AE319" s="138">
        <v>0</v>
      </c>
      <c r="AF319" s="137">
        <f t="shared" si="59"/>
        <v>0</v>
      </c>
      <c r="AG319" s="137">
        <f t="shared" si="60"/>
        <v>0</v>
      </c>
      <c r="AH319" s="154"/>
      <c r="AI319" s="154"/>
      <c r="AJ319" s="135" t="s">
        <v>46</v>
      </c>
      <c r="AK319" s="119" t="s">
        <v>46</v>
      </c>
      <c r="AL319" s="119" t="s">
        <v>520</v>
      </c>
      <c r="AM319" s="131"/>
    </row>
    <row r="320" spans="1:39" s="119" customFormat="1" ht="15" hidden="1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505</v>
      </c>
      <c r="H320" s="119" t="s">
        <v>505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9"/>
        <v>0</v>
      </c>
      <c r="U320" s="137">
        <f t="shared" si="53"/>
        <v>120000</v>
      </c>
      <c r="V320" s="137">
        <v>0</v>
      </c>
      <c r="W320" s="137">
        <f t="shared" si="54"/>
        <v>120000</v>
      </c>
      <c r="X320" s="137">
        <f t="shared" si="50"/>
        <v>120000</v>
      </c>
      <c r="Y320" s="137">
        <f t="shared" si="55"/>
        <v>0</v>
      </c>
      <c r="Z320" s="137">
        <f t="shared" si="61"/>
        <v>120000</v>
      </c>
      <c r="AA320" s="137">
        <f t="shared" si="51"/>
        <v>-120000</v>
      </c>
      <c r="AB320" s="146">
        <f t="shared" si="57"/>
        <v>120000</v>
      </c>
      <c r="AC320" s="147">
        <f t="shared" si="52"/>
        <v>0</v>
      </c>
      <c r="AD320" s="137">
        <v>100000</v>
      </c>
      <c r="AE320" s="138">
        <v>0</v>
      </c>
      <c r="AF320" s="137">
        <f t="shared" si="59"/>
        <v>0</v>
      </c>
      <c r="AG320" s="137">
        <f t="shared" si="60"/>
        <v>0</v>
      </c>
      <c r="AH320" s="154"/>
      <c r="AI320" s="154"/>
      <c r="AJ320" s="135" t="s">
        <v>46</v>
      </c>
      <c r="AK320" s="119" t="s">
        <v>46</v>
      </c>
      <c r="AL320" s="119" t="s">
        <v>520</v>
      </c>
      <c r="AM320" s="131"/>
    </row>
    <row r="321" spans="1:40" s="119" customFormat="1" ht="15" hidden="1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510</v>
      </c>
      <c r="G321" s="119" t="s">
        <v>510</v>
      </c>
      <c r="H321" s="119" t="s">
        <v>510</v>
      </c>
      <c r="I321" s="131" t="s">
        <v>241</v>
      </c>
      <c r="J321" s="119" t="s">
        <v>242</v>
      </c>
      <c r="K321" s="119" t="s">
        <v>243</v>
      </c>
      <c r="L321" s="119" t="s">
        <v>526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9"/>
        <v>0</v>
      </c>
      <c r="U321" s="137">
        <f t="shared" si="53"/>
        <v>25000</v>
      </c>
      <c r="V321" s="137">
        <v>0</v>
      </c>
      <c r="W321" s="137">
        <f t="shared" si="54"/>
        <v>25000</v>
      </c>
      <c r="X321" s="137">
        <f t="shared" si="50"/>
        <v>25000</v>
      </c>
      <c r="Y321" s="137">
        <f t="shared" si="55"/>
        <v>0</v>
      </c>
      <c r="Z321" s="137">
        <f t="shared" si="61"/>
        <v>25000</v>
      </c>
      <c r="AA321" s="137">
        <f t="shared" si="51"/>
        <v>-25000</v>
      </c>
      <c r="AB321" s="146">
        <f t="shared" si="57"/>
        <v>25000</v>
      </c>
      <c r="AC321" s="147">
        <f t="shared" si="52"/>
        <v>0</v>
      </c>
      <c r="AD321" s="137">
        <v>18750</v>
      </c>
      <c r="AE321" s="138">
        <v>0</v>
      </c>
      <c r="AF321" s="137">
        <f t="shared" si="59"/>
        <v>0</v>
      </c>
      <c r="AG321" s="137">
        <f t="shared" si="60"/>
        <v>0</v>
      </c>
      <c r="AH321" s="154"/>
      <c r="AI321" s="154"/>
      <c r="AJ321" s="136">
        <v>0.6</v>
      </c>
      <c r="AK321" s="156">
        <v>0.6</v>
      </c>
      <c r="AL321" s="119" t="s">
        <v>520</v>
      </c>
      <c r="AM321" s="131"/>
    </row>
    <row r="322" spans="1:40" s="119" customFormat="1" ht="15" hidden="1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514</v>
      </c>
      <c r="G322" s="119" t="s">
        <v>514</v>
      </c>
      <c r="H322" s="119" t="s">
        <v>514</v>
      </c>
      <c r="I322" s="131" t="s">
        <v>241</v>
      </c>
      <c r="J322" s="119" t="s">
        <v>242</v>
      </c>
      <c r="K322" s="119" t="s">
        <v>243</v>
      </c>
      <c r="L322" s="119" t="s">
        <v>527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2">S322*N322</f>
        <v>0</v>
      </c>
      <c r="U322" s="137">
        <f t="shared" si="53"/>
        <v>385000</v>
      </c>
      <c r="V322" s="137">
        <v>0</v>
      </c>
      <c r="W322" s="137">
        <f t="shared" si="54"/>
        <v>385000</v>
      </c>
      <c r="X322" s="137">
        <f t="shared" ref="X322:X385" si="63">W322/(1+N322)</f>
        <v>385000</v>
      </c>
      <c r="Y322" s="137">
        <f t="shared" si="55"/>
        <v>0</v>
      </c>
      <c r="Z322" s="137">
        <f t="shared" si="61"/>
        <v>385000</v>
      </c>
      <c r="AA322" s="137">
        <f t="shared" ref="AA322:AA385" si="64">Q322+V322-Z322</f>
        <v>-385000</v>
      </c>
      <c r="AB322" s="146">
        <f t="shared" si="57"/>
        <v>385000</v>
      </c>
      <c r="AC322" s="147">
        <f t="shared" ref="AC322:AC385" si="65">IF(O322="返现",Z322*N322,Z322-AB322)</f>
        <v>0</v>
      </c>
      <c r="AD322" s="137">
        <v>288750</v>
      </c>
      <c r="AE322" s="138">
        <v>0</v>
      </c>
      <c r="AF322" s="137">
        <f t="shared" si="59"/>
        <v>0</v>
      </c>
      <c r="AG322" s="137">
        <f t="shared" si="60"/>
        <v>0</v>
      </c>
      <c r="AH322" s="154"/>
      <c r="AI322" s="154"/>
      <c r="AJ322" s="135" t="s">
        <v>46</v>
      </c>
      <c r="AK322" s="119" t="s">
        <v>46</v>
      </c>
      <c r="AL322" s="119" t="s">
        <v>520</v>
      </c>
      <c r="AM322" s="131"/>
    </row>
    <row r="323" spans="1:40" s="119" customFormat="1" ht="15" hidden="1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528</v>
      </c>
      <c r="G323" s="119" t="s">
        <v>529</v>
      </c>
      <c r="H323" s="119" t="s">
        <v>529</v>
      </c>
      <c r="I323" s="131" t="s">
        <v>241</v>
      </c>
      <c r="J323" s="119" t="s">
        <v>242</v>
      </c>
      <c r="K323" s="119" t="s">
        <v>243</v>
      </c>
      <c r="L323" s="119" t="s">
        <v>528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2"/>
        <v>0</v>
      </c>
      <c r="U323" s="137">
        <f t="shared" ref="U323:U386" si="66">R323+S323+T323</f>
        <v>20000</v>
      </c>
      <c r="V323" s="137">
        <v>0</v>
      </c>
      <c r="W323" s="137">
        <f t="shared" ref="W323:W386" si="67">U323-V323</f>
        <v>20000</v>
      </c>
      <c r="X323" s="137">
        <f t="shared" si="63"/>
        <v>20000</v>
      </c>
      <c r="Y323" s="137">
        <f t="shared" ref="Y323:Y386" si="68">W323-X323</f>
        <v>0</v>
      </c>
      <c r="Z323" s="137">
        <f t="shared" si="61"/>
        <v>20000</v>
      </c>
      <c r="AA323" s="137">
        <f t="shared" si="64"/>
        <v>-20000</v>
      </c>
      <c r="AB323" s="146">
        <f t="shared" si="57"/>
        <v>20000</v>
      </c>
      <c r="AC323" s="147">
        <f t="shared" si="65"/>
        <v>0</v>
      </c>
      <c r="AD323" s="137">
        <v>15000</v>
      </c>
      <c r="AE323" s="138">
        <v>0</v>
      </c>
      <c r="AF323" s="137">
        <f t="shared" si="59"/>
        <v>0</v>
      </c>
      <c r="AG323" s="137">
        <f t="shared" si="60"/>
        <v>0</v>
      </c>
      <c r="AH323" s="154"/>
      <c r="AI323" s="154"/>
      <c r="AJ323" s="136">
        <v>0.6</v>
      </c>
      <c r="AK323" s="156">
        <v>0.6</v>
      </c>
      <c r="AL323" s="119" t="s">
        <v>520</v>
      </c>
      <c r="AM323" s="131"/>
    </row>
    <row r="324" spans="1:40" s="119" customFormat="1" ht="15" hidden="1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1692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2"/>
        <v>0</v>
      </c>
      <c r="U324" s="137">
        <f t="shared" si="66"/>
        <v>756200</v>
      </c>
      <c r="V324" s="137">
        <v>0</v>
      </c>
      <c r="W324" s="137">
        <f t="shared" si="67"/>
        <v>756200</v>
      </c>
      <c r="X324" s="137">
        <f t="shared" si="63"/>
        <v>756200</v>
      </c>
      <c r="Y324" s="137">
        <f t="shared" si="68"/>
        <v>0</v>
      </c>
      <c r="Z324" s="137">
        <f t="shared" si="61"/>
        <v>756200</v>
      </c>
      <c r="AA324" s="137">
        <f t="shared" si="64"/>
        <v>-756200</v>
      </c>
      <c r="AB324" s="146">
        <f t="shared" si="57"/>
        <v>756200</v>
      </c>
      <c r="AC324" s="147">
        <f t="shared" si="65"/>
        <v>0</v>
      </c>
      <c r="AD324" s="137">
        <v>638500</v>
      </c>
      <c r="AE324" s="138">
        <v>0</v>
      </c>
      <c r="AF324" s="137">
        <f t="shared" si="59"/>
        <v>0</v>
      </c>
      <c r="AG324" s="137">
        <f t="shared" si="60"/>
        <v>0</v>
      </c>
      <c r="AH324" s="154"/>
      <c r="AI324" s="154"/>
      <c r="AJ324" s="136">
        <v>0.6</v>
      </c>
      <c r="AK324" s="156">
        <v>0.6</v>
      </c>
      <c r="AL324" s="119" t="s">
        <v>520</v>
      </c>
      <c r="AM324" s="131"/>
    </row>
    <row r="325" spans="1:40" s="119" customFormat="1" ht="15" hidden="1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2"/>
        <v>0</v>
      </c>
      <c r="U325" s="137">
        <f t="shared" si="66"/>
        <v>0</v>
      </c>
      <c r="V325" s="137">
        <v>31483.5</v>
      </c>
      <c r="W325" s="137">
        <f t="shared" si="67"/>
        <v>-31483.5</v>
      </c>
      <c r="X325" s="137">
        <f t="shared" si="63"/>
        <v>-31483.5</v>
      </c>
      <c r="Y325" s="137">
        <f t="shared" si="68"/>
        <v>0</v>
      </c>
      <c r="Z325" s="137">
        <v>41978</v>
      </c>
      <c r="AA325" s="137">
        <f t="shared" si="64"/>
        <v>-10494.5</v>
      </c>
      <c r="AB325" s="146">
        <f t="shared" si="57"/>
        <v>41978</v>
      </c>
      <c r="AC325" s="147">
        <f t="shared" si="65"/>
        <v>0</v>
      </c>
      <c r="AD325" s="137">
        <v>31483.5</v>
      </c>
      <c r="AE325" s="138">
        <v>0</v>
      </c>
      <c r="AF325" s="137">
        <f t="shared" si="59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hidden="1" customHeight="1" x14ac:dyDescent="0.3">
      <c r="A326" s="119">
        <v>2017</v>
      </c>
      <c r="B326" s="131" t="s">
        <v>37</v>
      </c>
      <c r="C326" s="119" t="s">
        <v>135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530</v>
      </c>
      <c r="M326" s="119" t="s">
        <v>45</v>
      </c>
      <c r="N326" s="160">
        <v>0</v>
      </c>
      <c r="O326" s="135" t="s">
        <v>46</v>
      </c>
      <c r="P326" s="135" t="s">
        <v>1696</v>
      </c>
      <c r="Q326" s="137">
        <v>0</v>
      </c>
      <c r="R326" s="137">
        <v>0</v>
      </c>
      <c r="S326" s="131"/>
      <c r="T326" s="137">
        <f t="shared" si="62"/>
        <v>0</v>
      </c>
      <c r="U326" s="137">
        <f t="shared" si="66"/>
        <v>0</v>
      </c>
      <c r="V326" s="137">
        <v>403.5</v>
      </c>
      <c r="W326" s="137">
        <f t="shared" si="67"/>
        <v>-403.5</v>
      </c>
      <c r="X326" s="137">
        <f t="shared" si="63"/>
        <v>-403.5</v>
      </c>
      <c r="Y326" s="137">
        <f t="shared" si="68"/>
        <v>0</v>
      </c>
      <c r="Z326" s="137">
        <v>403.5</v>
      </c>
      <c r="AA326" s="137">
        <f t="shared" si="64"/>
        <v>0</v>
      </c>
      <c r="AB326" s="146">
        <f>IF(O326="返货",Z326/(1+N326),IF(O326="返现",Z326,IF(O326="折扣",Z326*N326,IF(O326="无",Z326))))+1005.7</f>
        <v>1409.2</v>
      </c>
      <c r="AC326" s="147">
        <f t="shared" si="65"/>
        <v>-1005.7</v>
      </c>
      <c r="AD326" s="137">
        <v>403.5</v>
      </c>
      <c r="AE326" s="138">
        <v>0</v>
      </c>
      <c r="AF326" s="137">
        <f t="shared" si="59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hidden="1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531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2"/>
        <v>0</v>
      </c>
      <c r="U327" s="137">
        <f t="shared" si="66"/>
        <v>20000</v>
      </c>
      <c r="V327" s="137"/>
      <c r="W327" s="137">
        <f t="shared" si="67"/>
        <v>20000</v>
      </c>
      <c r="X327" s="137">
        <f t="shared" si="63"/>
        <v>20000</v>
      </c>
      <c r="Y327" s="137">
        <f t="shared" si="68"/>
        <v>0</v>
      </c>
      <c r="Z327" s="137">
        <v>6698.5</v>
      </c>
      <c r="AA327" s="137">
        <f t="shared" si="64"/>
        <v>-6698.5</v>
      </c>
      <c r="AB327" s="146">
        <f t="shared" si="57"/>
        <v>6698.5</v>
      </c>
      <c r="AC327" s="147">
        <f t="shared" si="65"/>
        <v>0</v>
      </c>
      <c r="AD327" s="137">
        <v>4614</v>
      </c>
      <c r="AE327" s="138">
        <v>0</v>
      </c>
      <c r="AF327" s="137">
        <f t="shared" si="59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hidden="1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482</v>
      </c>
      <c r="G328" s="119" t="s">
        <v>482</v>
      </c>
      <c r="H328" s="119" t="s">
        <v>482</v>
      </c>
      <c r="I328" s="131" t="s">
        <v>241</v>
      </c>
      <c r="J328" s="119" t="s">
        <v>242</v>
      </c>
      <c r="K328" s="119" t="s">
        <v>243</v>
      </c>
      <c r="L328" s="119" t="s">
        <v>1639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2"/>
        <v>0</v>
      </c>
      <c r="U328" s="137">
        <f t="shared" si="66"/>
        <v>0</v>
      </c>
      <c r="V328" s="137">
        <v>19608</v>
      </c>
      <c r="W328" s="137">
        <f t="shared" si="67"/>
        <v>-19608</v>
      </c>
      <c r="X328" s="137">
        <f t="shared" si="63"/>
        <v>-19223.529411764706</v>
      </c>
      <c r="Y328" s="137">
        <f t="shared" si="68"/>
        <v>-384.47058823529369</v>
      </c>
      <c r="Z328" s="137">
        <v>0</v>
      </c>
      <c r="AA328" s="137">
        <f t="shared" si="64"/>
        <v>19608</v>
      </c>
      <c r="AB328" s="146">
        <f t="shared" si="57"/>
        <v>0</v>
      </c>
      <c r="AC328" s="147">
        <f t="shared" si="65"/>
        <v>0</v>
      </c>
      <c r="AD328" s="137">
        <v>19608</v>
      </c>
      <c r="AE328" s="138">
        <v>0</v>
      </c>
      <c r="AF328" s="137">
        <f t="shared" si="59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hidden="1" customHeight="1" x14ac:dyDescent="0.3">
      <c r="A329" s="119">
        <v>2017</v>
      </c>
      <c r="B329" s="131" t="s">
        <v>37</v>
      </c>
      <c r="C329" s="119" t="s">
        <v>430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401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2"/>
        <v>0</v>
      </c>
      <c r="U329" s="137">
        <f t="shared" si="66"/>
        <v>0</v>
      </c>
      <c r="V329" s="137">
        <v>601.5</v>
      </c>
      <c r="W329" s="137">
        <f t="shared" si="67"/>
        <v>-601.5</v>
      </c>
      <c r="X329" s="137">
        <f t="shared" si="63"/>
        <v>-601.5</v>
      </c>
      <c r="Y329" s="137">
        <f t="shared" si="68"/>
        <v>0</v>
      </c>
      <c r="Z329" s="137">
        <v>1000.5</v>
      </c>
      <c r="AA329" s="137">
        <f t="shared" si="64"/>
        <v>-399</v>
      </c>
      <c r="AB329" s="146">
        <f t="shared" si="57"/>
        <v>1000.5</v>
      </c>
      <c r="AC329" s="147">
        <f t="shared" si="65"/>
        <v>0</v>
      </c>
      <c r="AD329" s="137">
        <v>601.5</v>
      </c>
      <c r="AE329" s="138">
        <v>0</v>
      </c>
      <c r="AF329" s="137">
        <f t="shared" si="59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hidden="1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532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2"/>
        <v>0</v>
      </c>
      <c r="U330" s="137">
        <f t="shared" si="66"/>
        <v>0</v>
      </c>
      <c r="V330" s="137">
        <v>38479.5</v>
      </c>
      <c r="W330" s="137">
        <f t="shared" si="67"/>
        <v>-38479.5</v>
      </c>
      <c r="X330" s="137">
        <f t="shared" si="63"/>
        <v>-38479.5</v>
      </c>
      <c r="Y330" s="137">
        <f t="shared" si="68"/>
        <v>0</v>
      </c>
      <c r="Z330" s="137">
        <v>37352.230000000003</v>
      </c>
      <c r="AA330" s="137">
        <f t="shared" si="64"/>
        <v>1127.2699999999968</v>
      </c>
      <c r="AB330" s="146">
        <f t="shared" si="57"/>
        <v>37352.230000000003</v>
      </c>
      <c r="AC330" s="147">
        <f t="shared" si="65"/>
        <v>0</v>
      </c>
      <c r="AD330" s="137">
        <v>38479.5</v>
      </c>
      <c r="AE330" s="138">
        <v>0</v>
      </c>
      <c r="AF330" s="137">
        <f t="shared" si="59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hidden="1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2"/>
        <v>0</v>
      </c>
      <c r="U331" s="137">
        <f t="shared" si="66"/>
        <v>0</v>
      </c>
      <c r="V331" s="137">
        <v>63664.5</v>
      </c>
      <c r="W331" s="137">
        <f t="shared" si="67"/>
        <v>-63664.5</v>
      </c>
      <c r="X331" s="137">
        <f t="shared" si="63"/>
        <v>-63664.5</v>
      </c>
      <c r="Y331" s="137">
        <f t="shared" si="68"/>
        <v>0</v>
      </c>
      <c r="Z331" s="137">
        <v>90914</v>
      </c>
      <c r="AA331" s="137">
        <f t="shared" si="64"/>
        <v>-27249.5</v>
      </c>
      <c r="AB331" s="146">
        <f t="shared" si="57"/>
        <v>90914</v>
      </c>
      <c r="AC331" s="147">
        <f t="shared" si="65"/>
        <v>0</v>
      </c>
      <c r="AD331" s="137">
        <v>63664.5</v>
      </c>
      <c r="AE331" s="138">
        <v>0</v>
      </c>
      <c r="AF331" s="137">
        <f t="shared" si="59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hidden="1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533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533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2"/>
        <v>0</v>
      </c>
      <c r="U332" s="137">
        <f t="shared" si="66"/>
        <v>0</v>
      </c>
      <c r="V332" s="137">
        <v>196.5</v>
      </c>
      <c r="W332" s="137">
        <f t="shared" si="67"/>
        <v>-196.5</v>
      </c>
      <c r="X332" s="137">
        <f t="shared" si="63"/>
        <v>-196.5</v>
      </c>
      <c r="Y332" s="137">
        <f t="shared" si="68"/>
        <v>0</v>
      </c>
      <c r="Z332" s="137">
        <v>262</v>
      </c>
      <c r="AA332" s="137">
        <f t="shared" si="64"/>
        <v>-65.5</v>
      </c>
      <c r="AB332" s="146">
        <v>0</v>
      </c>
      <c r="AC332" s="147">
        <f t="shared" si="65"/>
        <v>262</v>
      </c>
      <c r="AD332" s="137">
        <v>196.5</v>
      </c>
      <c r="AE332" s="138">
        <v>0</v>
      </c>
      <c r="AF332" s="137">
        <f t="shared" si="59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534</v>
      </c>
    </row>
    <row r="333" spans="1:40" s="119" customFormat="1" ht="15" hidden="1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535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536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2"/>
        <v>0</v>
      </c>
      <c r="U333" s="137">
        <f t="shared" si="66"/>
        <v>0</v>
      </c>
      <c r="V333" s="137">
        <v>52773</v>
      </c>
      <c r="W333" s="137">
        <f t="shared" si="67"/>
        <v>-52773</v>
      </c>
      <c r="X333" s="137">
        <f t="shared" si="63"/>
        <v>-52773</v>
      </c>
      <c r="Y333" s="137">
        <f t="shared" si="68"/>
        <v>0</v>
      </c>
      <c r="Z333" s="137">
        <v>70364</v>
      </c>
      <c r="AA333" s="137">
        <f t="shared" si="64"/>
        <v>-17591</v>
      </c>
      <c r="AB333" s="146"/>
      <c r="AC333" s="147">
        <f t="shared" si="65"/>
        <v>70364</v>
      </c>
      <c r="AD333" s="137">
        <v>52773</v>
      </c>
      <c r="AE333" s="138">
        <v>0</v>
      </c>
      <c r="AF333" s="137">
        <f t="shared" si="59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534</v>
      </c>
    </row>
    <row r="334" spans="1:40" s="119" customFormat="1" ht="15" hidden="1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439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2"/>
        <v>0</v>
      </c>
      <c r="U334" s="137">
        <f t="shared" si="66"/>
        <v>0</v>
      </c>
      <c r="V334" s="137">
        <v>285063</v>
      </c>
      <c r="W334" s="137">
        <f t="shared" si="67"/>
        <v>-285063</v>
      </c>
      <c r="X334" s="137">
        <f t="shared" si="63"/>
        <v>-285063</v>
      </c>
      <c r="Y334" s="137">
        <f t="shared" si="68"/>
        <v>0</v>
      </c>
      <c r="Z334" s="137">
        <v>398531.5</v>
      </c>
      <c r="AA334" s="137">
        <f t="shared" si="64"/>
        <v>-113468.5</v>
      </c>
      <c r="AB334" s="146">
        <f t="shared" ref="AB334:AB339" si="69">IF(O334="返货",Z334/(1+N334),IF(O334="返现",Z334,IF(O334="折扣",Z334*N334,IF(O334="无",Z334))))</f>
        <v>398531.5</v>
      </c>
      <c r="AC334" s="147">
        <f t="shared" si="65"/>
        <v>0</v>
      </c>
      <c r="AD334" s="137">
        <v>285063</v>
      </c>
      <c r="AE334" s="138">
        <v>0</v>
      </c>
      <c r="AF334" s="137">
        <f t="shared" si="59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hidden="1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459</v>
      </c>
      <c r="G335" s="131" t="s">
        <v>459</v>
      </c>
      <c r="H335" s="131" t="s">
        <v>459</v>
      </c>
      <c r="I335" s="131" t="s">
        <v>241</v>
      </c>
      <c r="J335" s="119" t="s">
        <v>242</v>
      </c>
      <c r="K335" s="119" t="s">
        <v>264</v>
      </c>
      <c r="L335" s="119" t="s">
        <v>459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2"/>
        <v>0</v>
      </c>
      <c r="U335" s="137">
        <f t="shared" si="66"/>
        <v>0</v>
      </c>
      <c r="V335" s="137">
        <v>1.5</v>
      </c>
      <c r="W335" s="137">
        <f t="shared" si="67"/>
        <v>-1.5</v>
      </c>
      <c r="X335" s="137">
        <f t="shared" si="63"/>
        <v>-1.5</v>
      </c>
      <c r="Y335" s="137">
        <f t="shared" si="68"/>
        <v>0</v>
      </c>
      <c r="Z335" s="137">
        <v>2.5</v>
      </c>
      <c r="AA335" s="137">
        <f t="shared" si="64"/>
        <v>-1</v>
      </c>
      <c r="AB335" s="146">
        <f t="shared" si="69"/>
        <v>2.5</v>
      </c>
      <c r="AC335" s="147">
        <f t="shared" si="65"/>
        <v>0</v>
      </c>
      <c r="AD335" s="137">
        <v>1.5</v>
      </c>
      <c r="AE335" s="138">
        <v>0</v>
      </c>
      <c r="AF335" s="137">
        <f t="shared" si="59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hidden="1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2"/>
        <v>0</v>
      </c>
      <c r="U336" s="137">
        <f t="shared" si="66"/>
        <v>0</v>
      </c>
      <c r="V336" s="137">
        <v>53994</v>
      </c>
      <c r="W336" s="137">
        <f t="shared" si="67"/>
        <v>-53994</v>
      </c>
      <c r="X336" s="137">
        <f t="shared" si="63"/>
        <v>-53994</v>
      </c>
      <c r="Y336" s="137">
        <f t="shared" si="68"/>
        <v>0</v>
      </c>
      <c r="Z336" s="137">
        <v>71992</v>
      </c>
      <c r="AA336" s="137">
        <f t="shared" si="64"/>
        <v>-17998</v>
      </c>
      <c r="AB336" s="146">
        <f t="shared" si="69"/>
        <v>71992</v>
      </c>
      <c r="AC336" s="147">
        <f t="shared" si="65"/>
        <v>0</v>
      </c>
      <c r="AD336" s="137">
        <v>53994</v>
      </c>
      <c r="AE336" s="138">
        <v>0</v>
      </c>
      <c r="AF336" s="137">
        <f t="shared" si="59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hidden="1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2"/>
        <v>0</v>
      </c>
      <c r="U337" s="137">
        <f t="shared" si="66"/>
        <v>0</v>
      </c>
      <c r="V337" s="137">
        <v>57861</v>
      </c>
      <c r="W337" s="137">
        <f t="shared" si="67"/>
        <v>-57861</v>
      </c>
      <c r="X337" s="137">
        <f t="shared" si="63"/>
        <v>-57861</v>
      </c>
      <c r="Y337" s="137">
        <f t="shared" si="68"/>
        <v>0</v>
      </c>
      <c r="Z337" s="137">
        <v>77148</v>
      </c>
      <c r="AA337" s="137">
        <f t="shared" si="64"/>
        <v>-19287</v>
      </c>
      <c r="AB337" s="146">
        <f t="shared" si="69"/>
        <v>77148</v>
      </c>
      <c r="AC337" s="147">
        <f t="shared" si="65"/>
        <v>0</v>
      </c>
      <c r="AD337" s="137">
        <v>57861</v>
      </c>
      <c r="AE337" s="138">
        <v>0</v>
      </c>
      <c r="AF337" s="137">
        <f t="shared" si="59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hidden="1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2"/>
        <v>0</v>
      </c>
      <c r="U338" s="137">
        <f t="shared" si="66"/>
        <v>0</v>
      </c>
      <c r="V338" s="137">
        <v>141981</v>
      </c>
      <c r="W338" s="137">
        <f t="shared" si="67"/>
        <v>-141981</v>
      </c>
      <c r="X338" s="137">
        <f t="shared" si="63"/>
        <v>-141981</v>
      </c>
      <c r="Y338" s="137">
        <f t="shared" si="68"/>
        <v>0</v>
      </c>
      <c r="Z338" s="137">
        <v>189308</v>
      </c>
      <c r="AA338" s="137">
        <f t="shared" si="64"/>
        <v>-47327</v>
      </c>
      <c r="AB338" s="146">
        <f t="shared" si="69"/>
        <v>189308</v>
      </c>
      <c r="AC338" s="147">
        <f t="shared" si="65"/>
        <v>0</v>
      </c>
      <c r="AD338" s="137">
        <v>141981</v>
      </c>
      <c r="AE338" s="138">
        <v>0</v>
      </c>
      <c r="AF338" s="137">
        <f t="shared" si="59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hidden="1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2"/>
        <v>0</v>
      </c>
      <c r="U339" s="137">
        <f t="shared" si="66"/>
        <v>0</v>
      </c>
      <c r="V339" s="137">
        <v>86382</v>
      </c>
      <c r="W339" s="137">
        <f t="shared" si="67"/>
        <v>-86382</v>
      </c>
      <c r="X339" s="137">
        <f t="shared" si="63"/>
        <v>-86382</v>
      </c>
      <c r="Y339" s="137">
        <f t="shared" si="68"/>
        <v>0</v>
      </c>
      <c r="Z339" s="137">
        <v>115176</v>
      </c>
      <c r="AA339" s="137">
        <f t="shared" si="64"/>
        <v>-28794</v>
      </c>
      <c r="AB339" s="146">
        <f t="shared" si="69"/>
        <v>115176</v>
      </c>
      <c r="AC339" s="147">
        <f t="shared" si="65"/>
        <v>0</v>
      </c>
      <c r="AD339" s="137">
        <v>86382</v>
      </c>
      <c r="AE339" s="138">
        <v>0</v>
      </c>
      <c r="AF339" s="137">
        <f t="shared" si="59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hidden="1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537</v>
      </c>
      <c r="G340" s="131" t="s">
        <v>537</v>
      </c>
      <c r="H340" s="131" t="s">
        <v>537</v>
      </c>
      <c r="I340" s="131" t="s">
        <v>241</v>
      </c>
      <c r="J340" s="119" t="s">
        <v>242</v>
      </c>
      <c r="K340" s="119" t="s">
        <v>264</v>
      </c>
      <c r="L340" s="119" t="s">
        <v>537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2"/>
        <v>0</v>
      </c>
      <c r="U340" s="137">
        <f t="shared" si="66"/>
        <v>0</v>
      </c>
      <c r="V340" s="137">
        <v>481.5</v>
      </c>
      <c r="W340" s="137">
        <f t="shared" si="67"/>
        <v>-481.5</v>
      </c>
      <c r="X340" s="137">
        <f t="shared" si="63"/>
        <v>-481.5</v>
      </c>
      <c r="Y340" s="137">
        <f t="shared" si="68"/>
        <v>0</v>
      </c>
      <c r="Z340" s="137">
        <v>642</v>
      </c>
      <c r="AA340" s="137">
        <f t="shared" si="64"/>
        <v>-160.5</v>
      </c>
      <c r="AB340" s="146">
        <v>0</v>
      </c>
      <c r="AC340" s="147">
        <f t="shared" si="65"/>
        <v>642</v>
      </c>
      <c r="AD340" s="137">
        <v>481.5</v>
      </c>
      <c r="AE340" s="138">
        <v>0</v>
      </c>
      <c r="AF340" s="137">
        <f t="shared" si="59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538</v>
      </c>
    </row>
    <row r="341" spans="1:40" s="119" customFormat="1" ht="15" hidden="1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516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2"/>
        <v>0</v>
      </c>
      <c r="U341" s="137">
        <f t="shared" si="66"/>
        <v>0</v>
      </c>
      <c r="V341" s="137">
        <v>6246</v>
      </c>
      <c r="W341" s="137">
        <f t="shared" si="67"/>
        <v>-6246</v>
      </c>
      <c r="X341" s="137">
        <f t="shared" si="63"/>
        <v>-6246</v>
      </c>
      <c r="Y341" s="137">
        <f t="shared" si="68"/>
        <v>0</v>
      </c>
      <c r="Z341" s="137">
        <v>10410</v>
      </c>
      <c r="AA341" s="137">
        <f t="shared" si="64"/>
        <v>-4164</v>
      </c>
      <c r="AB341" s="146">
        <f>IF(O341="返货",Z341/(1+N341),IF(O341="返现",Z341,IF(O341="折扣",Z341*N341,IF(O341="无",Z341))))</f>
        <v>10410</v>
      </c>
      <c r="AC341" s="147">
        <f t="shared" si="65"/>
        <v>0</v>
      </c>
      <c r="AD341" s="137">
        <v>6246</v>
      </c>
      <c r="AE341" s="138">
        <v>0</v>
      </c>
      <c r="AF341" s="137">
        <f t="shared" si="59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hidden="1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528</v>
      </c>
      <c r="G342" s="131" t="s">
        <v>529</v>
      </c>
      <c r="H342" s="131" t="s">
        <v>529</v>
      </c>
      <c r="I342" s="131" t="s">
        <v>241</v>
      </c>
      <c r="J342" s="119" t="s">
        <v>242</v>
      </c>
      <c r="K342" s="119" t="s">
        <v>264</v>
      </c>
      <c r="L342" s="119" t="s">
        <v>528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2"/>
        <v>0</v>
      </c>
      <c r="U342" s="137">
        <f t="shared" si="66"/>
        <v>0</v>
      </c>
      <c r="V342" s="137">
        <v>147</v>
      </c>
      <c r="W342" s="137">
        <f t="shared" si="67"/>
        <v>-147</v>
      </c>
      <c r="X342" s="137">
        <f t="shared" si="63"/>
        <v>-147</v>
      </c>
      <c r="Y342" s="137">
        <f t="shared" si="68"/>
        <v>0</v>
      </c>
      <c r="Z342" s="137">
        <v>245</v>
      </c>
      <c r="AA342" s="137">
        <f t="shared" si="64"/>
        <v>-98</v>
      </c>
      <c r="AB342" s="146">
        <f>IF(O342="返货",Z342/(1+N342),IF(O342="返现",Z342,IF(O342="折扣",Z342*N342,IF(O342="无",Z342))))</f>
        <v>245</v>
      </c>
      <c r="AC342" s="147">
        <f t="shared" si="65"/>
        <v>0</v>
      </c>
      <c r="AD342" s="137">
        <v>147</v>
      </c>
      <c r="AE342" s="138">
        <v>0</v>
      </c>
      <c r="AF342" s="137">
        <f t="shared" si="59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hidden="1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539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539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2"/>
        <v>0</v>
      </c>
      <c r="U343" s="137">
        <f t="shared" si="66"/>
        <v>0</v>
      </c>
      <c r="V343" s="137">
        <v>6756</v>
      </c>
      <c r="W343" s="137">
        <f t="shared" si="67"/>
        <v>-6756</v>
      </c>
      <c r="X343" s="137">
        <f t="shared" si="63"/>
        <v>-6756</v>
      </c>
      <c r="Y343" s="137">
        <f t="shared" si="68"/>
        <v>0</v>
      </c>
      <c r="Z343" s="137">
        <v>9008</v>
      </c>
      <c r="AA343" s="137">
        <f t="shared" si="64"/>
        <v>-2252</v>
      </c>
      <c r="AB343" s="146">
        <v>0</v>
      </c>
      <c r="AC343" s="147">
        <f t="shared" si="65"/>
        <v>9008</v>
      </c>
      <c r="AD343" s="137">
        <v>6756</v>
      </c>
      <c r="AE343" s="138">
        <v>0</v>
      </c>
      <c r="AF343" s="137">
        <f t="shared" si="59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534</v>
      </c>
    </row>
    <row r="344" spans="1:40" s="119" customFormat="1" ht="15" hidden="1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2"/>
        <v>0</v>
      </c>
      <c r="U344" s="137">
        <f t="shared" si="66"/>
        <v>0</v>
      </c>
      <c r="V344" s="137">
        <v>6988.5</v>
      </c>
      <c r="W344" s="137">
        <f t="shared" si="67"/>
        <v>-6988.5</v>
      </c>
      <c r="X344" s="137">
        <f t="shared" si="63"/>
        <v>-6988.5</v>
      </c>
      <c r="Y344" s="137">
        <f t="shared" si="68"/>
        <v>0</v>
      </c>
      <c r="Z344" s="137">
        <v>9318</v>
      </c>
      <c r="AA344" s="137">
        <f t="shared" si="64"/>
        <v>-2329.5</v>
      </c>
      <c r="AB344" s="146">
        <f t="shared" ref="AB344:AB375" si="70">IF(O344="返货",Z344/(1+N344),IF(O344="返现",Z344,IF(O344="折扣",Z344*N344,IF(O344="无",Z344))))</f>
        <v>9318</v>
      </c>
      <c r="AC344" s="147">
        <f t="shared" si="65"/>
        <v>0</v>
      </c>
      <c r="AD344" s="137">
        <v>6988.5</v>
      </c>
      <c r="AE344" s="138">
        <v>0</v>
      </c>
      <c r="AF344" s="137">
        <f t="shared" si="59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hidden="1" customHeight="1" x14ac:dyDescent="0.3">
      <c r="A345" s="119">
        <v>2017</v>
      </c>
      <c r="B345" s="119" t="s">
        <v>37</v>
      </c>
      <c r="C345" s="119" t="s">
        <v>53</v>
      </c>
      <c r="D345" s="131"/>
      <c r="E345" s="131"/>
      <c r="F345" s="119" t="s">
        <v>383</v>
      </c>
      <c r="G345" s="119" t="s">
        <v>383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1694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2"/>
        <v>0</v>
      </c>
      <c r="U345" s="137">
        <f t="shared" si="66"/>
        <v>0</v>
      </c>
      <c r="V345" s="137">
        <v>6561</v>
      </c>
      <c r="W345" s="137">
        <f t="shared" si="67"/>
        <v>-6561</v>
      </c>
      <c r="X345" s="137">
        <f t="shared" si="63"/>
        <v>-6561</v>
      </c>
      <c r="Y345" s="137">
        <f t="shared" si="68"/>
        <v>0</v>
      </c>
      <c r="Z345" s="137">
        <v>10935</v>
      </c>
      <c r="AA345" s="137">
        <f t="shared" si="64"/>
        <v>-4374</v>
      </c>
      <c r="AB345" s="146">
        <f t="shared" si="70"/>
        <v>10935</v>
      </c>
      <c r="AC345" s="147">
        <f t="shared" si="65"/>
        <v>0</v>
      </c>
      <c r="AD345" s="137">
        <v>6561</v>
      </c>
      <c r="AE345" s="138">
        <v>0</v>
      </c>
      <c r="AF345" s="137">
        <f t="shared" si="59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hidden="1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540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2"/>
        <v>0</v>
      </c>
      <c r="U346" s="137">
        <f t="shared" si="66"/>
        <v>0</v>
      </c>
      <c r="V346" s="137"/>
      <c r="W346" s="137">
        <f t="shared" si="67"/>
        <v>0</v>
      </c>
      <c r="X346" s="137">
        <f t="shared" si="63"/>
        <v>0</v>
      </c>
      <c r="Y346" s="137">
        <f t="shared" si="68"/>
        <v>0</v>
      </c>
      <c r="Z346" s="137">
        <v>5061.5</v>
      </c>
      <c r="AA346" s="137">
        <f t="shared" si="64"/>
        <v>-5061.5</v>
      </c>
      <c r="AB346" s="146">
        <f t="shared" si="70"/>
        <v>5061.5</v>
      </c>
      <c r="AC346" s="147">
        <f t="shared" si="65"/>
        <v>0</v>
      </c>
      <c r="AD346" s="137">
        <v>3168</v>
      </c>
      <c r="AE346" s="138">
        <v>0</v>
      </c>
      <c r="AF346" s="137">
        <f t="shared" si="59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hidden="1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2"/>
        <v>0</v>
      </c>
      <c r="U347" s="137">
        <f t="shared" si="66"/>
        <v>0</v>
      </c>
      <c r="V347" s="137">
        <v>5443.5</v>
      </c>
      <c r="W347" s="137">
        <f t="shared" si="67"/>
        <v>-5443.5</v>
      </c>
      <c r="X347" s="137">
        <f t="shared" si="63"/>
        <v>-5443.5</v>
      </c>
      <c r="Y347" s="137">
        <f t="shared" si="68"/>
        <v>0</v>
      </c>
      <c r="Z347" s="137">
        <v>7258</v>
      </c>
      <c r="AA347" s="137">
        <f t="shared" si="64"/>
        <v>-1814.5</v>
      </c>
      <c r="AB347" s="146">
        <f t="shared" si="70"/>
        <v>7258</v>
      </c>
      <c r="AC347" s="147">
        <f t="shared" si="65"/>
        <v>0</v>
      </c>
      <c r="AD347" s="137">
        <v>5443.5</v>
      </c>
      <c r="AE347" s="138">
        <v>0</v>
      </c>
      <c r="AF347" s="137">
        <f t="shared" si="59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hidden="1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2"/>
        <v>0</v>
      </c>
      <c r="U348" s="137">
        <f t="shared" si="66"/>
        <v>0</v>
      </c>
      <c r="V348" s="137">
        <v>6721.5</v>
      </c>
      <c r="W348" s="137">
        <f t="shared" si="67"/>
        <v>-6721.5</v>
      </c>
      <c r="X348" s="137">
        <f t="shared" si="63"/>
        <v>-6721.5</v>
      </c>
      <c r="Y348" s="137">
        <f t="shared" si="68"/>
        <v>0</v>
      </c>
      <c r="Z348" s="137">
        <v>9461.5</v>
      </c>
      <c r="AA348" s="137">
        <f t="shared" si="64"/>
        <v>-2740</v>
      </c>
      <c r="AB348" s="146">
        <f t="shared" si="70"/>
        <v>9461.5</v>
      </c>
      <c r="AC348" s="147">
        <f t="shared" si="65"/>
        <v>0</v>
      </c>
      <c r="AD348" s="137">
        <v>6721.5</v>
      </c>
      <c r="AE348" s="138">
        <v>0</v>
      </c>
      <c r="AF348" s="137">
        <f t="shared" si="59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hidden="1" customHeight="1" x14ac:dyDescent="0.3">
      <c r="A349" s="119">
        <v>2017</v>
      </c>
      <c r="B349" s="119" t="s">
        <v>197</v>
      </c>
      <c r="C349" s="119" t="s">
        <v>53</v>
      </c>
      <c r="D349" s="131"/>
      <c r="E349" s="131"/>
      <c r="F349" s="131" t="s">
        <v>240</v>
      </c>
      <c r="G349" s="119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1693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2"/>
        <v>0</v>
      </c>
      <c r="U349" s="137">
        <f t="shared" si="66"/>
        <v>0</v>
      </c>
      <c r="V349" s="137">
        <v>30115.5</v>
      </c>
      <c r="W349" s="137">
        <f t="shared" si="67"/>
        <v>-30115.5</v>
      </c>
      <c r="X349" s="137">
        <f t="shared" si="63"/>
        <v>-30115.5</v>
      </c>
      <c r="Y349" s="137">
        <f t="shared" si="68"/>
        <v>0</v>
      </c>
      <c r="Z349" s="137">
        <v>50192.5</v>
      </c>
      <c r="AA349" s="137">
        <f t="shared" si="64"/>
        <v>-20077</v>
      </c>
      <c r="AB349" s="146">
        <v>50000</v>
      </c>
      <c r="AC349" s="147">
        <f t="shared" si="65"/>
        <v>192.5</v>
      </c>
      <c r="AD349" s="137">
        <v>30115.5</v>
      </c>
      <c r="AE349" s="138">
        <v>0</v>
      </c>
      <c r="AF349" s="137">
        <f t="shared" si="59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hidden="1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541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2"/>
        <v>0</v>
      </c>
      <c r="U350" s="137">
        <f t="shared" si="66"/>
        <v>0</v>
      </c>
      <c r="V350" s="137">
        <v>17676</v>
      </c>
      <c r="W350" s="137">
        <f t="shared" si="67"/>
        <v>-17676</v>
      </c>
      <c r="X350" s="137">
        <f t="shared" si="63"/>
        <v>-17676</v>
      </c>
      <c r="Y350" s="137">
        <f t="shared" si="68"/>
        <v>0</v>
      </c>
      <c r="Z350" s="137">
        <v>23568</v>
      </c>
      <c r="AA350" s="137">
        <f t="shared" si="64"/>
        <v>-5892</v>
      </c>
      <c r="AB350" s="146">
        <f t="shared" si="70"/>
        <v>23568</v>
      </c>
      <c r="AC350" s="147">
        <f t="shared" si="65"/>
        <v>0</v>
      </c>
      <c r="AD350" s="137">
        <v>17676</v>
      </c>
      <c r="AE350" s="138">
        <v>0</v>
      </c>
      <c r="AF350" s="137">
        <f t="shared" si="59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hidden="1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2"/>
        <v>0</v>
      </c>
      <c r="U351" s="137">
        <f t="shared" si="66"/>
        <v>0</v>
      </c>
      <c r="V351" s="137">
        <v>237643.5</v>
      </c>
      <c r="W351" s="137">
        <f t="shared" si="67"/>
        <v>-237643.5</v>
      </c>
      <c r="X351" s="137">
        <f t="shared" si="63"/>
        <v>-237643.5</v>
      </c>
      <c r="Y351" s="137">
        <f t="shared" si="68"/>
        <v>0</v>
      </c>
      <c r="Z351" s="137">
        <v>331486</v>
      </c>
      <c r="AA351" s="137">
        <f t="shared" si="64"/>
        <v>-93842.5</v>
      </c>
      <c r="AB351" s="146">
        <f t="shared" si="70"/>
        <v>331486</v>
      </c>
      <c r="AC351" s="147">
        <f t="shared" si="65"/>
        <v>0</v>
      </c>
      <c r="AD351" s="137">
        <v>237643.5</v>
      </c>
      <c r="AE351" s="138">
        <v>0</v>
      </c>
      <c r="AF351" s="137">
        <f t="shared" si="59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hidden="1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2"/>
        <v>0</v>
      </c>
      <c r="U352" s="137">
        <f t="shared" si="66"/>
        <v>0</v>
      </c>
      <c r="V352" s="137">
        <v>15000</v>
      </c>
      <c r="W352" s="137">
        <f t="shared" si="67"/>
        <v>-15000</v>
      </c>
      <c r="X352" s="137">
        <f t="shared" si="63"/>
        <v>-15000</v>
      </c>
      <c r="Y352" s="137">
        <f t="shared" si="68"/>
        <v>0</v>
      </c>
      <c r="Z352" s="137">
        <v>5259.3</v>
      </c>
      <c r="AA352" s="137">
        <f t="shared" si="64"/>
        <v>9740.7000000000007</v>
      </c>
      <c r="AB352" s="146">
        <f t="shared" si="70"/>
        <v>5259.3</v>
      </c>
      <c r="AC352" s="147">
        <f t="shared" si="65"/>
        <v>0</v>
      </c>
      <c r="AD352" s="137">
        <v>4408.7005319217296</v>
      </c>
      <c r="AE352" s="138">
        <v>0.17647058823529399</v>
      </c>
      <c r="AF352" s="137">
        <f t="shared" si="59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hidden="1" customHeight="1" x14ac:dyDescent="0.3">
      <c r="A353" s="119">
        <v>2017</v>
      </c>
      <c r="B353" s="131" t="s">
        <v>37</v>
      </c>
      <c r="C353" s="119" t="s">
        <v>135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530</v>
      </c>
      <c r="M353" s="119" t="s">
        <v>45</v>
      </c>
      <c r="N353" s="136">
        <v>0</v>
      </c>
      <c r="O353" s="135" t="s">
        <v>46</v>
      </c>
      <c r="P353" s="135" t="s">
        <v>1696</v>
      </c>
      <c r="Q353" s="137">
        <v>0</v>
      </c>
      <c r="T353" s="137">
        <f t="shared" si="62"/>
        <v>0</v>
      </c>
      <c r="U353" s="137">
        <f t="shared" si="66"/>
        <v>0</v>
      </c>
      <c r="V353" s="137">
        <v>299731</v>
      </c>
      <c r="W353" s="137">
        <f t="shared" si="67"/>
        <v>-299731</v>
      </c>
      <c r="X353" s="137">
        <f t="shared" si="63"/>
        <v>-299731</v>
      </c>
      <c r="Y353" s="137">
        <f t="shared" si="68"/>
        <v>0</v>
      </c>
      <c r="Z353" s="137">
        <v>284897.8</v>
      </c>
      <c r="AA353" s="137">
        <f t="shared" si="64"/>
        <v>14833.200000000012</v>
      </c>
      <c r="AB353" s="146">
        <f t="shared" si="70"/>
        <v>284897.8</v>
      </c>
      <c r="AC353" s="147">
        <f t="shared" si="65"/>
        <v>0</v>
      </c>
      <c r="AD353" s="137">
        <v>238820.58114261</v>
      </c>
      <c r="AE353" s="138">
        <v>0.17647058823529399</v>
      </c>
      <c r="AF353" s="137">
        <f t="shared" si="59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hidden="1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531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2"/>
        <v>0</v>
      </c>
      <c r="U354" s="137">
        <f t="shared" si="66"/>
        <v>0</v>
      </c>
      <c r="V354" s="137"/>
      <c r="W354" s="137">
        <f t="shared" si="67"/>
        <v>0</v>
      </c>
      <c r="X354" s="137">
        <f t="shared" si="63"/>
        <v>0</v>
      </c>
      <c r="Y354" s="137">
        <f t="shared" si="68"/>
        <v>0</v>
      </c>
      <c r="Z354" s="137">
        <v>382.5</v>
      </c>
      <c r="AA354" s="137">
        <f t="shared" si="64"/>
        <v>-382.5</v>
      </c>
      <c r="AB354" s="146">
        <f t="shared" si="70"/>
        <v>382.5</v>
      </c>
      <c r="AC354" s="147">
        <f t="shared" si="65"/>
        <v>0</v>
      </c>
      <c r="AD354" s="137">
        <v>320.63733832640497</v>
      </c>
      <c r="AE354" s="138">
        <v>0.17647058823529399</v>
      </c>
      <c r="AF354" s="137">
        <f t="shared" si="59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hidden="1" customHeight="1" x14ac:dyDescent="0.3">
      <c r="A355" s="119">
        <v>2017</v>
      </c>
      <c r="B355" s="131" t="s">
        <v>37</v>
      </c>
      <c r="C355" s="119" t="s">
        <v>135</v>
      </c>
      <c r="D355" s="131"/>
      <c r="E355" s="131"/>
      <c r="F355" s="131" t="s">
        <v>262</v>
      </c>
      <c r="G355" s="131" t="s">
        <v>263</v>
      </c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 t="s">
        <v>1696</v>
      </c>
      <c r="Q355" s="137">
        <v>0</v>
      </c>
      <c r="R355" s="137">
        <v>0</v>
      </c>
      <c r="T355" s="137">
        <f t="shared" si="62"/>
        <v>0</v>
      </c>
      <c r="U355" s="137">
        <f t="shared" si="66"/>
        <v>0</v>
      </c>
      <c r="V355" s="137">
        <v>20000</v>
      </c>
      <c r="W355" s="137">
        <f t="shared" si="67"/>
        <v>-20000</v>
      </c>
      <c r="X355" s="137">
        <f t="shared" si="63"/>
        <v>-20000</v>
      </c>
      <c r="Y355" s="137">
        <f t="shared" si="68"/>
        <v>0</v>
      </c>
      <c r="Z355" s="137">
        <v>1359</v>
      </c>
      <c r="AA355" s="137">
        <f t="shared" si="64"/>
        <v>18641</v>
      </c>
      <c r="AB355" s="146">
        <f t="shared" si="70"/>
        <v>1359</v>
      </c>
      <c r="AC355" s="147">
        <f t="shared" si="65"/>
        <v>0</v>
      </c>
      <c r="AD355" s="137">
        <v>1139.20560205381</v>
      </c>
      <c r="AE355" s="138">
        <v>0.17647058823529399</v>
      </c>
      <c r="AF355" s="137">
        <f t="shared" si="59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hidden="1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400</v>
      </c>
      <c r="H356" s="131" t="s">
        <v>400</v>
      </c>
      <c r="I356" s="131" t="s">
        <v>241</v>
      </c>
      <c r="J356" s="119" t="s">
        <v>242</v>
      </c>
      <c r="K356" s="119" t="s">
        <v>243</v>
      </c>
      <c r="L356" s="119" t="s">
        <v>542</v>
      </c>
      <c r="M356" s="119" t="s">
        <v>45</v>
      </c>
      <c r="N356" s="136">
        <v>0.02</v>
      </c>
      <c r="O356" s="135" t="s">
        <v>50</v>
      </c>
      <c r="P356" s="135" t="s">
        <v>437</v>
      </c>
      <c r="Q356" s="137">
        <v>0</v>
      </c>
      <c r="T356" s="137">
        <f t="shared" si="62"/>
        <v>0</v>
      </c>
      <c r="U356" s="137">
        <f t="shared" si="66"/>
        <v>0</v>
      </c>
      <c r="V356" s="137">
        <v>20000</v>
      </c>
      <c r="W356" s="137">
        <f t="shared" si="67"/>
        <v>-20000</v>
      </c>
      <c r="X356" s="137">
        <f t="shared" si="63"/>
        <v>-19607.843137254902</v>
      </c>
      <c r="Y356" s="137">
        <f t="shared" si="68"/>
        <v>-392.1568627450979</v>
      </c>
      <c r="Z356" s="137">
        <f>7088.5-Z1168</f>
        <v>4088.5</v>
      </c>
      <c r="AA356" s="137">
        <f t="shared" si="64"/>
        <v>15911.5</v>
      </c>
      <c r="AB356" s="146">
        <f t="shared" si="70"/>
        <v>4008.3333333333335</v>
      </c>
      <c r="AC356" s="147">
        <f t="shared" si="65"/>
        <v>80.166666666666515</v>
      </c>
      <c r="AD356" s="137">
        <v>5942.0595365404397</v>
      </c>
      <c r="AE356" s="138">
        <v>0.17647058823529399</v>
      </c>
      <c r="AF356" s="137">
        <f t="shared" si="59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hidden="1" customHeight="1" x14ac:dyDescent="0.3">
      <c r="A357" s="119">
        <v>2017</v>
      </c>
      <c r="B357" s="131" t="s">
        <v>37</v>
      </c>
      <c r="C357" s="119" t="s">
        <v>135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</v>
      </c>
      <c r="O357" s="135" t="s">
        <v>46</v>
      </c>
      <c r="P357" s="135" t="s">
        <v>1696</v>
      </c>
      <c r="Q357" s="137">
        <v>0</v>
      </c>
      <c r="T357" s="137">
        <f t="shared" si="62"/>
        <v>0</v>
      </c>
      <c r="U357" s="137">
        <f t="shared" si="66"/>
        <v>0</v>
      </c>
      <c r="V357" s="137">
        <v>120000</v>
      </c>
      <c r="W357" s="137">
        <f t="shared" si="67"/>
        <v>-120000</v>
      </c>
      <c r="X357" s="137">
        <f t="shared" si="63"/>
        <v>-120000</v>
      </c>
      <c r="Y357" s="137">
        <f t="shared" si="68"/>
        <v>0</v>
      </c>
      <c r="Z357" s="137">
        <v>72630.97</v>
      </c>
      <c r="AA357" s="137">
        <f t="shared" si="64"/>
        <v>47369.03</v>
      </c>
      <c r="AB357" s="146">
        <f t="shared" si="70"/>
        <v>72630.97</v>
      </c>
      <c r="AC357" s="147">
        <f t="shared" si="65"/>
        <v>0</v>
      </c>
      <c r="AD357" s="137">
        <v>60884.185361738397</v>
      </c>
      <c r="AE357" s="138">
        <v>0.17647058823529399</v>
      </c>
      <c r="AF357" s="137">
        <f t="shared" si="59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hidden="1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543</v>
      </c>
      <c r="M358" s="119" t="s">
        <v>45</v>
      </c>
      <c r="N358" s="136">
        <v>0</v>
      </c>
      <c r="O358" s="135" t="s">
        <v>46</v>
      </c>
      <c r="P358" s="135" t="s">
        <v>1696</v>
      </c>
      <c r="Q358" s="137">
        <v>0</v>
      </c>
      <c r="T358" s="137">
        <f t="shared" si="62"/>
        <v>0</v>
      </c>
      <c r="U358" s="137">
        <f t="shared" si="66"/>
        <v>0</v>
      </c>
      <c r="V358" s="137">
        <v>80000</v>
      </c>
      <c r="W358" s="137">
        <f t="shared" si="67"/>
        <v>-80000</v>
      </c>
      <c r="X358" s="137">
        <f t="shared" si="63"/>
        <v>-80000</v>
      </c>
      <c r="Y358" s="137">
        <f t="shared" si="68"/>
        <v>0</v>
      </c>
      <c r="Z358" s="137">
        <v>47766.15</v>
      </c>
      <c r="AA358" s="137">
        <f t="shared" si="64"/>
        <v>32233.85</v>
      </c>
      <c r="AB358" s="146">
        <f t="shared" si="70"/>
        <v>47766.15</v>
      </c>
      <c r="AC358" s="147">
        <f t="shared" si="65"/>
        <v>0</v>
      </c>
      <c r="AD358" s="137">
        <v>40040.813589803402</v>
      </c>
      <c r="AE358" s="138">
        <v>0.17647058823529399</v>
      </c>
      <c r="AF358" s="137">
        <f t="shared" si="59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hidden="1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532</v>
      </c>
      <c r="M359" s="119" t="s">
        <v>45</v>
      </c>
      <c r="N359" s="135">
        <v>0</v>
      </c>
      <c r="O359" s="135" t="s">
        <v>46</v>
      </c>
      <c r="P359" s="135" t="s">
        <v>1656</v>
      </c>
      <c r="Q359" s="137">
        <v>0</v>
      </c>
      <c r="T359" s="137">
        <f t="shared" si="62"/>
        <v>0</v>
      </c>
      <c r="U359" s="137">
        <f t="shared" si="66"/>
        <v>0</v>
      </c>
      <c r="V359" s="137">
        <v>651000.5</v>
      </c>
      <c r="W359" s="137">
        <f t="shared" si="67"/>
        <v>-651000.5</v>
      </c>
      <c r="X359" s="137">
        <f t="shared" si="63"/>
        <v>-651000.5</v>
      </c>
      <c r="Y359" s="137">
        <f t="shared" si="68"/>
        <v>0</v>
      </c>
      <c r="Z359" s="137">
        <v>615129.73</v>
      </c>
      <c r="AA359" s="137">
        <f t="shared" si="64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5"/>
        <v>13000</v>
      </c>
      <c r="AD359" s="137">
        <v>502449.79943717801</v>
      </c>
      <c r="AE359" s="138">
        <v>0.17647058823529399</v>
      </c>
      <c r="AF359" s="137">
        <f t="shared" si="59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hidden="1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457</v>
      </c>
      <c r="G360" s="131" t="s">
        <v>457</v>
      </c>
      <c r="H360" s="131" t="s">
        <v>457</v>
      </c>
      <c r="I360" s="131" t="s">
        <v>241</v>
      </c>
      <c r="J360" s="119" t="s">
        <v>242</v>
      </c>
      <c r="K360" s="119" t="s">
        <v>243</v>
      </c>
      <c r="L360" s="119" t="s">
        <v>458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2"/>
        <v>0</v>
      </c>
      <c r="U360" s="137">
        <f t="shared" si="66"/>
        <v>0</v>
      </c>
      <c r="V360" s="137">
        <v>0</v>
      </c>
      <c r="W360" s="137">
        <f t="shared" si="67"/>
        <v>0</v>
      </c>
      <c r="X360" s="137">
        <f t="shared" si="63"/>
        <v>0</v>
      </c>
      <c r="Y360" s="137">
        <f t="shared" si="68"/>
        <v>0</v>
      </c>
      <c r="Z360" s="137">
        <v>11876.6</v>
      </c>
      <c r="AA360" s="137">
        <f t="shared" si="64"/>
        <v>-11876.6</v>
      </c>
      <c r="AB360" s="146">
        <f t="shared" si="70"/>
        <v>11643.725490196079</v>
      </c>
      <c r="AC360" s="147">
        <f t="shared" si="65"/>
        <v>232.87450980392168</v>
      </c>
      <c r="AD360" s="137">
        <v>9955.7683983460902</v>
      </c>
      <c r="AE360" s="138">
        <v>0.17647058823529399</v>
      </c>
      <c r="AF360" s="137">
        <f t="shared" si="59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hidden="1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2"/>
        <v>0</v>
      </c>
      <c r="U361" s="137">
        <f t="shared" si="66"/>
        <v>0</v>
      </c>
      <c r="V361" s="137">
        <v>310832.5</v>
      </c>
      <c r="W361" s="137">
        <f t="shared" si="67"/>
        <v>-310832.5</v>
      </c>
      <c r="X361" s="137">
        <f t="shared" si="63"/>
        <v>-310832.5</v>
      </c>
      <c r="Y361" s="137">
        <f t="shared" si="68"/>
        <v>0</v>
      </c>
      <c r="Z361" s="137">
        <v>238998.5</v>
      </c>
      <c r="AA361" s="137">
        <f t="shared" si="64"/>
        <v>71834</v>
      </c>
      <c r="AB361" s="146">
        <f t="shared" si="70"/>
        <v>238998.5</v>
      </c>
      <c r="AC361" s="147">
        <f t="shared" si="65"/>
        <v>0</v>
      </c>
      <c r="AD361" s="137">
        <v>200344.687330727</v>
      </c>
      <c r="AE361" s="138">
        <v>0.17647058823529399</v>
      </c>
      <c r="AF361" s="137">
        <f t="shared" si="59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hidden="1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2"/>
        <v>0</v>
      </c>
      <c r="U362" s="137">
        <f t="shared" si="66"/>
        <v>0</v>
      </c>
      <c r="V362" s="137">
        <v>0</v>
      </c>
      <c r="W362" s="137">
        <f t="shared" si="67"/>
        <v>0</v>
      </c>
      <c r="X362" s="137">
        <f t="shared" si="63"/>
        <v>0</v>
      </c>
      <c r="Y362" s="137">
        <f t="shared" si="68"/>
        <v>0</v>
      </c>
      <c r="Z362" s="137">
        <v>27161.94</v>
      </c>
      <c r="AA362" s="137">
        <f t="shared" si="64"/>
        <v>-27161.94</v>
      </c>
      <c r="AB362" s="146">
        <f t="shared" si="70"/>
        <v>27161.94</v>
      </c>
      <c r="AC362" s="147">
        <f t="shared" si="65"/>
        <v>0</v>
      </c>
      <c r="AD362" s="137">
        <v>22768.972929102001</v>
      </c>
      <c r="AE362" s="138">
        <v>0.17647058823529399</v>
      </c>
      <c r="AF362" s="137">
        <f t="shared" si="59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hidden="1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2"/>
        <v>0</v>
      </c>
      <c r="U363" s="137">
        <f t="shared" si="66"/>
        <v>0</v>
      </c>
      <c r="V363" s="137">
        <v>0</v>
      </c>
      <c r="W363" s="137">
        <f t="shared" si="67"/>
        <v>0</v>
      </c>
      <c r="X363" s="137">
        <f t="shared" si="63"/>
        <v>0</v>
      </c>
      <c r="Y363" s="137">
        <f t="shared" si="68"/>
        <v>0</v>
      </c>
      <c r="Z363" s="137">
        <v>689.4</v>
      </c>
      <c r="AA363" s="137">
        <f t="shared" si="64"/>
        <v>-689.4</v>
      </c>
      <c r="AB363" s="146">
        <f t="shared" si="70"/>
        <v>689.4</v>
      </c>
      <c r="AC363" s="147">
        <f t="shared" si="65"/>
        <v>0</v>
      </c>
      <c r="AD363" s="137">
        <v>577.90164978359098</v>
      </c>
      <c r="AE363" s="138">
        <v>0.17647058823529399</v>
      </c>
      <c r="AF363" s="137">
        <f t="shared" si="59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hidden="1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2"/>
        <v>0</v>
      </c>
      <c r="U364" s="137">
        <f t="shared" si="66"/>
        <v>0</v>
      </c>
      <c r="V364" s="137">
        <v>38584</v>
      </c>
      <c r="W364" s="137">
        <f t="shared" si="67"/>
        <v>-38584</v>
      </c>
      <c r="X364" s="137">
        <f t="shared" si="63"/>
        <v>-38584</v>
      </c>
      <c r="Y364" s="137">
        <f t="shared" si="68"/>
        <v>0</v>
      </c>
      <c r="Z364" s="137">
        <v>36658</v>
      </c>
      <c r="AA364" s="137">
        <f t="shared" si="64"/>
        <v>1926</v>
      </c>
      <c r="AB364" s="146">
        <f t="shared" si="70"/>
        <v>36658</v>
      </c>
      <c r="AC364" s="147">
        <f t="shared" si="65"/>
        <v>0</v>
      </c>
      <c r="AD364" s="137">
        <v>30729.2118911617</v>
      </c>
      <c r="AE364" s="138">
        <v>0.17647058823529399</v>
      </c>
      <c r="AF364" s="137">
        <f t="shared" si="59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hidden="1" customHeight="1" x14ac:dyDescent="0.3">
      <c r="A365" s="119">
        <v>2017</v>
      </c>
      <c r="B365" s="119" t="s">
        <v>197</v>
      </c>
      <c r="C365" s="119" t="s">
        <v>74</v>
      </c>
      <c r="D365" s="119" t="s">
        <v>515</v>
      </c>
      <c r="F365" s="131" t="s">
        <v>544</v>
      </c>
      <c r="G365" s="131" t="s">
        <v>545</v>
      </c>
      <c r="H365" s="131" t="s">
        <v>546</v>
      </c>
      <c r="I365" s="131" t="s">
        <v>202</v>
      </c>
      <c r="J365" s="119" t="s">
        <v>203</v>
      </c>
      <c r="K365" s="119" t="s">
        <v>204</v>
      </c>
      <c r="L365" s="119" t="s">
        <v>544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2"/>
        <v>0</v>
      </c>
      <c r="U365" s="137">
        <f t="shared" si="66"/>
        <v>0</v>
      </c>
      <c r="V365" s="137">
        <v>0</v>
      </c>
      <c r="W365" s="137">
        <f t="shared" si="67"/>
        <v>0</v>
      </c>
      <c r="X365" s="137">
        <f t="shared" si="63"/>
        <v>0</v>
      </c>
      <c r="Y365" s="137">
        <f t="shared" si="68"/>
        <v>0</v>
      </c>
      <c r="Z365" s="137">
        <v>174166.5</v>
      </c>
      <c r="AA365" s="137">
        <f t="shared" si="64"/>
        <v>-174166.5</v>
      </c>
      <c r="AB365" s="146">
        <f t="shared" si="70"/>
        <v>170751.4705882353</v>
      </c>
      <c r="AC365" s="147">
        <f t="shared" si="65"/>
        <v>3415.029411764699</v>
      </c>
      <c r="AD365" s="137">
        <v>174166.5</v>
      </c>
      <c r="AE365" s="138">
        <v>0.2</v>
      </c>
      <c r="AF365" s="137">
        <f t="shared" si="59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hidden="1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547</v>
      </c>
      <c r="G366" s="131" t="s">
        <v>548</v>
      </c>
      <c r="H366" s="131" t="s">
        <v>548</v>
      </c>
      <c r="I366" s="131" t="s">
        <v>241</v>
      </c>
      <c r="J366" s="119" t="s">
        <v>242</v>
      </c>
      <c r="K366" s="119" t="s">
        <v>243</v>
      </c>
      <c r="L366" s="119" t="s">
        <v>549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2"/>
        <v>0</v>
      </c>
      <c r="U366" s="137">
        <f t="shared" si="66"/>
        <v>0</v>
      </c>
      <c r="V366" s="137">
        <v>30600</v>
      </c>
      <c r="W366" s="137">
        <f t="shared" si="67"/>
        <v>-30600</v>
      </c>
      <c r="X366" s="137">
        <f t="shared" si="63"/>
        <v>-30600</v>
      </c>
      <c r="Y366" s="137">
        <f t="shared" si="68"/>
        <v>0</v>
      </c>
      <c r="Z366" s="137">
        <v>16873.509999999998</v>
      </c>
      <c r="AA366" s="137">
        <f t="shared" si="64"/>
        <v>13726.490000000002</v>
      </c>
      <c r="AB366" s="146">
        <f t="shared" si="70"/>
        <v>16873.509999999998</v>
      </c>
      <c r="AC366" s="147">
        <f t="shared" si="65"/>
        <v>0</v>
      </c>
      <c r="AD366" s="137">
        <v>14144.5159075137</v>
      </c>
      <c r="AE366" s="138">
        <v>0.17647058823529399</v>
      </c>
      <c r="AF366" s="137">
        <f t="shared" si="59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hidden="1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514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2"/>
        <v>0</v>
      </c>
      <c r="U367" s="137">
        <f t="shared" si="66"/>
        <v>0</v>
      </c>
      <c r="V367" s="137">
        <v>70000</v>
      </c>
      <c r="W367" s="137">
        <f t="shared" si="67"/>
        <v>-70000</v>
      </c>
      <c r="X367" s="137">
        <f t="shared" si="63"/>
        <v>-70000</v>
      </c>
      <c r="Y367" s="137">
        <f t="shared" si="68"/>
        <v>0</v>
      </c>
      <c r="Z367" s="137">
        <v>69993</v>
      </c>
      <c r="AA367" s="137">
        <f t="shared" si="64"/>
        <v>7</v>
      </c>
      <c r="AB367" s="146">
        <f t="shared" si="70"/>
        <v>69993</v>
      </c>
      <c r="AC367" s="147">
        <f t="shared" si="65"/>
        <v>0</v>
      </c>
      <c r="AD367" s="137">
        <v>58672.860709751702</v>
      </c>
      <c r="AE367" s="138">
        <v>0.17647058823529399</v>
      </c>
      <c r="AF367" s="137">
        <f t="shared" ref="AF367:AF430" si="71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hidden="1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457</v>
      </c>
      <c r="G368" s="131" t="s">
        <v>457</v>
      </c>
      <c r="H368" s="131" t="s">
        <v>457</v>
      </c>
      <c r="I368" s="131" t="s">
        <v>241</v>
      </c>
      <c r="J368" s="119" t="s">
        <v>242</v>
      </c>
      <c r="K368" s="119" t="s">
        <v>243</v>
      </c>
      <c r="L368" s="119" t="s">
        <v>550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2"/>
        <v>0</v>
      </c>
      <c r="U368" s="137">
        <f t="shared" si="66"/>
        <v>0</v>
      </c>
      <c r="V368" s="137">
        <v>20000</v>
      </c>
      <c r="W368" s="137">
        <f t="shared" si="67"/>
        <v>-20000</v>
      </c>
      <c r="X368" s="137">
        <f t="shared" si="63"/>
        <v>-20000</v>
      </c>
      <c r="Y368" s="137">
        <f t="shared" si="68"/>
        <v>0</v>
      </c>
      <c r="Z368" s="137">
        <v>3666</v>
      </c>
      <c r="AA368" s="137">
        <f t="shared" si="64"/>
        <v>16334</v>
      </c>
      <c r="AB368" s="146">
        <f t="shared" si="70"/>
        <v>3666</v>
      </c>
      <c r="AC368" s="147">
        <f t="shared" si="65"/>
        <v>0</v>
      </c>
      <c r="AD368" s="137">
        <v>3073.0888426264</v>
      </c>
      <c r="AE368" s="138">
        <v>0.17647058823529399</v>
      </c>
      <c r="AF368" s="137">
        <f t="shared" si="71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hidden="1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516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2"/>
        <v>0</v>
      </c>
      <c r="U369" s="137">
        <f t="shared" si="66"/>
        <v>0</v>
      </c>
      <c r="V369" s="137">
        <v>104683</v>
      </c>
      <c r="W369" s="137">
        <f t="shared" si="67"/>
        <v>-104683</v>
      </c>
      <c r="X369" s="137">
        <f t="shared" si="63"/>
        <v>-102630.39215686274</v>
      </c>
      <c r="Y369" s="137">
        <f t="shared" si="68"/>
        <v>-2052.6078431372589</v>
      </c>
      <c r="Z369" s="137">
        <v>48433.5</v>
      </c>
      <c r="AA369" s="137">
        <f t="shared" si="64"/>
        <v>56249.5</v>
      </c>
      <c r="AB369" s="146">
        <f t="shared" si="70"/>
        <v>47483.823529411762</v>
      </c>
      <c r="AC369" s="147">
        <f t="shared" si="65"/>
        <v>949.67647058823786</v>
      </c>
      <c r="AD369" s="137">
        <v>40600.231440083502</v>
      </c>
      <c r="AE369" s="138">
        <v>0.17647058823529399</v>
      </c>
      <c r="AF369" s="137">
        <f t="shared" si="71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hidden="1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462</v>
      </c>
      <c r="G370" s="131" t="s">
        <v>462</v>
      </c>
      <c r="H370" s="131" t="s">
        <v>462</v>
      </c>
      <c r="I370" s="131" t="s">
        <v>241</v>
      </c>
      <c r="J370" s="119" t="s">
        <v>242</v>
      </c>
      <c r="K370" s="119" t="s">
        <v>243</v>
      </c>
      <c r="L370" s="119" t="s">
        <v>462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2"/>
        <v>0</v>
      </c>
      <c r="U370" s="137">
        <f t="shared" si="66"/>
        <v>0</v>
      </c>
      <c r="V370" s="137">
        <v>0</v>
      </c>
      <c r="W370" s="137">
        <f t="shared" si="67"/>
        <v>0</v>
      </c>
      <c r="X370" s="137">
        <f t="shared" si="63"/>
        <v>0</v>
      </c>
      <c r="Y370" s="137">
        <f t="shared" si="68"/>
        <v>0</v>
      </c>
      <c r="Z370" s="137">
        <v>3770.96</v>
      </c>
      <c r="AA370" s="137">
        <f t="shared" si="64"/>
        <v>-3770.96</v>
      </c>
      <c r="AB370" s="146">
        <f t="shared" si="70"/>
        <v>3770.96</v>
      </c>
      <c r="AC370" s="147">
        <f t="shared" si="65"/>
        <v>0</v>
      </c>
      <c r="AD370" s="137">
        <v>3161.0734047982701</v>
      </c>
      <c r="AE370" s="138">
        <v>0.17647058823529399</v>
      </c>
      <c r="AF370" s="137">
        <f t="shared" si="71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hidden="1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2"/>
        <v>0</v>
      </c>
      <c r="U371" s="137">
        <f t="shared" si="66"/>
        <v>0</v>
      </c>
      <c r="V371" s="137">
        <v>0</v>
      </c>
      <c r="W371" s="137">
        <f t="shared" si="67"/>
        <v>0</v>
      </c>
      <c r="X371" s="137">
        <f t="shared" si="63"/>
        <v>0</v>
      </c>
      <c r="Y371" s="137">
        <f t="shared" si="68"/>
        <v>0</v>
      </c>
      <c r="Z371" s="137">
        <v>1186</v>
      </c>
      <c r="AA371" s="137">
        <f t="shared" si="64"/>
        <v>-1186</v>
      </c>
      <c r="AB371" s="146">
        <f t="shared" si="70"/>
        <v>1186</v>
      </c>
      <c r="AC371" s="147">
        <f t="shared" si="65"/>
        <v>0</v>
      </c>
      <c r="AD371" s="137">
        <v>994.18531569965</v>
      </c>
      <c r="AE371" s="138">
        <v>0.17647058823529399</v>
      </c>
      <c r="AF371" s="137">
        <f t="shared" si="71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hidden="1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499</v>
      </c>
      <c r="G372" s="131" t="s">
        <v>499</v>
      </c>
      <c r="H372" s="131" t="s">
        <v>499</v>
      </c>
      <c r="I372" s="131" t="s">
        <v>241</v>
      </c>
      <c r="J372" s="119" t="s">
        <v>242</v>
      </c>
      <c r="K372" s="119" t="s">
        <v>243</v>
      </c>
      <c r="L372" s="119" t="s">
        <v>551</v>
      </c>
      <c r="M372" s="119" t="s">
        <v>45</v>
      </c>
      <c r="N372" s="136">
        <v>0.02</v>
      </c>
      <c r="O372" s="135" t="s">
        <v>492</v>
      </c>
      <c r="P372" s="135"/>
      <c r="Q372" s="137">
        <v>0</v>
      </c>
      <c r="T372" s="137">
        <f t="shared" si="62"/>
        <v>0</v>
      </c>
      <c r="U372" s="137">
        <f t="shared" si="66"/>
        <v>0</v>
      </c>
      <c r="V372" s="137">
        <v>70000</v>
      </c>
      <c r="W372" s="137">
        <f t="shared" si="67"/>
        <v>-70000</v>
      </c>
      <c r="X372" s="137">
        <f t="shared" si="63"/>
        <v>-68627.450980392154</v>
      </c>
      <c r="Y372" s="137">
        <f t="shared" si="68"/>
        <v>-1372.5490196078463</v>
      </c>
      <c r="Z372" s="137">
        <v>22170.6</v>
      </c>
      <c r="AA372" s="137">
        <f t="shared" si="64"/>
        <v>47829.4</v>
      </c>
      <c r="AB372" s="146">
        <f t="shared" si="70"/>
        <v>22170.6</v>
      </c>
      <c r="AC372" s="147">
        <f t="shared" si="65"/>
        <v>443.41199999999998</v>
      </c>
      <c r="AD372" s="137">
        <v>18584.894570194501</v>
      </c>
      <c r="AE372" s="138">
        <v>0.17647058823529399</v>
      </c>
      <c r="AF372" s="137">
        <f t="shared" si="71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hidden="1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540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2"/>
        <v>0</v>
      </c>
      <c r="U373" s="137">
        <f t="shared" si="66"/>
        <v>0</v>
      </c>
      <c r="V373" s="137">
        <v>27414.5</v>
      </c>
      <c r="W373" s="137">
        <f t="shared" si="67"/>
        <v>-27414.5</v>
      </c>
      <c r="X373" s="137">
        <f t="shared" si="63"/>
        <v>-27414.5</v>
      </c>
      <c r="Y373" s="137">
        <f t="shared" si="68"/>
        <v>0</v>
      </c>
      <c r="Z373" s="137">
        <v>11743.5</v>
      </c>
      <c r="AA373" s="137">
        <f t="shared" si="64"/>
        <v>15671</v>
      </c>
      <c r="AB373" s="146">
        <f t="shared" si="70"/>
        <v>11743.5</v>
      </c>
      <c r="AC373" s="147">
        <f t="shared" si="65"/>
        <v>0</v>
      </c>
      <c r="AD373" s="137">
        <v>9844.1949872840105</v>
      </c>
      <c r="AE373" s="138">
        <v>0.17647058823529399</v>
      </c>
      <c r="AF373" s="137">
        <f t="shared" si="71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hidden="1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2"/>
        <v>0</v>
      </c>
      <c r="U374" s="137">
        <f t="shared" si="66"/>
        <v>0</v>
      </c>
      <c r="V374" s="137">
        <v>0</v>
      </c>
      <c r="W374" s="137">
        <f t="shared" si="67"/>
        <v>0</v>
      </c>
      <c r="X374" s="137">
        <f t="shared" si="63"/>
        <v>0</v>
      </c>
      <c r="Y374" s="137">
        <f t="shared" si="68"/>
        <v>0</v>
      </c>
      <c r="Z374" s="137">
        <v>20000</v>
      </c>
      <c r="AA374" s="137">
        <f t="shared" si="64"/>
        <v>-20000</v>
      </c>
      <c r="AB374" s="146">
        <f t="shared" si="70"/>
        <v>20000</v>
      </c>
      <c r="AC374" s="147">
        <f t="shared" si="65"/>
        <v>0</v>
      </c>
      <c r="AD374" s="137">
        <v>16765.3510236029</v>
      </c>
      <c r="AE374" s="138">
        <v>0.17647058823529399</v>
      </c>
      <c r="AF374" s="137">
        <f t="shared" si="71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hidden="1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2"/>
        <v>0</v>
      </c>
      <c r="U375" s="137">
        <f t="shared" si="66"/>
        <v>0</v>
      </c>
      <c r="V375" s="137">
        <v>0</v>
      </c>
      <c r="W375" s="137">
        <f t="shared" si="67"/>
        <v>0</v>
      </c>
      <c r="X375" s="137">
        <f t="shared" si="63"/>
        <v>0</v>
      </c>
      <c r="Y375" s="137">
        <f t="shared" si="68"/>
        <v>0</v>
      </c>
      <c r="Z375" s="137">
        <v>16472.23</v>
      </c>
      <c r="AA375" s="137">
        <f t="shared" si="64"/>
        <v>-16472.23</v>
      </c>
      <c r="AB375" s="146">
        <f t="shared" si="70"/>
        <v>16472.23</v>
      </c>
      <c r="AC375" s="147">
        <f t="shared" si="65"/>
        <v>0</v>
      </c>
      <c r="AD375" s="137">
        <v>13808.1359045761</v>
      </c>
      <c r="AE375" s="138">
        <v>0.17647058823529399</v>
      </c>
      <c r="AF375" s="137">
        <f t="shared" si="71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hidden="1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552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552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2"/>
        <v>0</v>
      </c>
      <c r="U376" s="137">
        <f t="shared" si="66"/>
        <v>0</v>
      </c>
      <c r="V376" s="137">
        <v>20000</v>
      </c>
      <c r="W376" s="137">
        <f t="shared" si="67"/>
        <v>-20000</v>
      </c>
      <c r="X376" s="137">
        <f t="shared" si="63"/>
        <v>-20000</v>
      </c>
      <c r="Y376" s="137">
        <f t="shared" si="68"/>
        <v>0</v>
      </c>
      <c r="Z376" s="137">
        <v>20000</v>
      </c>
      <c r="AA376" s="137">
        <f t="shared" si="64"/>
        <v>0</v>
      </c>
      <c r="AB376" s="146">
        <f t="shared" ref="AB376:AB403" si="72">IF(O376="返货",Z376/(1+N376),IF(O376="返现",Z376,IF(O376="折扣",Z376*N376,IF(O376="无",Z376))))</f>
        <v>20000</v>
      </c>
      <c r="AC376" s="147">
        <f t="shared" si="65"/>
        <v>0</v>
      </c>
      <c r="AD376" s="137">
        <v>16765.3510236029</v>
      </c>
      <c r="AE376" s="138">
        <v>0.17647058823529399</v>
      </c>
      <c r="AF376" s="137">
        <f t="shared" si="71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hidden="1" customHeight="1" x14ac:dyDescent="0.3">
      <c r="A377" s="119">
        <v>2017</v>
      </c>
      <c r="B377" s="131" t="s">
        <v>250</v>
      </c>
      <c r="C377" s="119" t="s">
        <v>38</v>
      </c>
      <c r="D377" s="159" t="s">
        <v>553</v>
      </c>
      <c r="E377" s="131" t="s">
        <v>251</v>
      </c>
      <c r="F377" s="131" t="s">
        <v>415</v>
      </c>
      <c r="G377" s="131" t="s">
        <v>416</v>
      </c>
      <c r="H377" s="158" t="s">
        <v>417</v>
      </c>
      <c r="I377" s="131" t="s">
        <v>241</v>
      </c>
      <c r="J377" s="119" t="s">
        <v>242</v>
      </c>
      <c r="K377" s="119" t="s">
        <v>243</v>
      </c>
      <c r="L377" s="119" t="s">
        <v>554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2"/>
        <v>0</v>
      </c>
      <c r="U377" s="137">
        <f t="shared" si="66"/>
        <v>0</v>
      </c>
      <c r="V377" s="137">
        <v>100000</v>
      </c>
      <c r="W377" s="137">
        <f t="shared" si="67"/>
        <v>-100000</v>
      </c>
      <c r="X377" s="137">
        <f t="shared" si="63"/>
        <v>-100000</v>
      </c>
      <c r="Y377" s="137">
        <f t="shared" si="68"/>
        <v>0</v>
      </c>
      <c r="Z377" s="137">
        <v>69932.2</v>
      </c>
      <c r="AA377" s="137">
        <f t="shared" si="64"/>
        <v>30067.800000000003</v>
      </c>
      <c r="AB377" s="146">
        <f t="shared" si="72"/>
        <v>69932.2</v>
      </c>
      <c r="AC377" s="147">
        <f t="shared" si="65"/>
        <v>0</v>
      </c>
      <c r="AD377" s="137">
        <v>58621.89404264</v>
      </c>
      <c r="AE377" s="138">
        <v>0.17647058823529399</v>
      </c>
      <c r="AF377" s="137">
        <f t="shared" si="71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hidden="1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524</v>
      </c>
      <c r="G378" s="131" t="s">
        <v>524</v>
      </c>
      <c r="H378" s="131" t="s">
        <v>524</v>
      </c>
      <c r="I378" s="131" t="s">
        <v>241</v>
      </c>
      <c r="J378" s="119" t="s">
        <v>242</v>
      </c>
      <c r="K378" s="119" t="s">
        <v>243</v>
      </c>
      <c r="L378" s="119" t="s">
        <v>555</v>
      </c>
      <c r="M378" s="119" t="s">
        <v>45</v>
      </c>
      <c r="N378" s="135">
        <v>0</v>
      </c>
      <c r="O378" s="135" t="s">
        <v>1641</v>
      </c>
      <c r="P378" s="135"/>
      <c r="Q378" s="137">
        <v>0</v>
      </c>
      <c r="T378" s="137">
        <f t="shared" si="62"/>
        <v>0</v>
      </c>
      <c r="U378" s="137">
        <f t="shared" si="66"/>
        <v>0</v>
      </c>
      <c r="V378" s="137">
        <v>100000</v>
      </c>
      <c r="W378" s="137">
        <f t="shared" si="67"/>
        <v>-100000</v>
      </c>
      <c r="X378" s="137">
        <f t="shared" si="63"/>
        <v>-100000</v>
      </c>
      <c r="Y378" s="137">
        <f t="shared" si="68"/>
        <v>0</v>
      </c>
      <c r="Z378" s="137">
        <v>92156.6</v>
      </c>
      <c r="AA378" s="137">
        <f t="shared" si="64"/>
        <v>7843.3999999999942</v>
      </c>
      <c r="AB378" s="146">
        <f t="shared" si="72"/>
        <v>92156.6</v>
      </c>
      <c r="AC378" s="147">
        <f t="shared" si="65"/>
        <v>0</v>
      </c>
      <c r="AD378" s="137">
        <v>77251.887407087997</v>
      </c>
      <c r="AE378" s="138">
        <v>0.17647058823529399</v>
      </c>
      <c r="AF378" s="137">
        <f t="shared" si="71"/>
        <v>13632.686013015518</v>
      </c>
      <c r="AG378" s="131"/>
      <c r="AH378" s="131"/>
      <c r="AI378" s="131"/>
      <c r="AJ378" s="135" t="s">
        <v>556</v>
      </c>
      <c r="AK378" s="131"/>
      <c r="AL378" s="131"/>
      <c r="AM378" s="131" t="s">
        <v>206</v>
      </c>
    </row>
    <row r="379" spans="1:39" s="119" customFormat="1" ht="15" hidden="1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557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557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2"/>
        <v>0</v>
      </c>
      <c r="U379" s="137">
        <f t="shared" si="66"/>
        <v>0</v>
      </c>
      <c r="V379" s="137">
        <v>10000</v>
      </c>
      <c r="W379" s="137">
        <f t="shared" si="67"/>
        <v>-10000</v>
      </c>
      <c r="X379" s="137">
        <f t="shared" si="63"/>
        <v>-10000</v>
      </c>
      <c r="Y379" s="137">
        <f t="shared" si="68"/>
        <v>0</v>
      </c>
      <c r="Z379" s="137">
        <v>219</v>
      </c>
      <c r="AA379" s="137">
        <f t="shared" si="64"/>
        <v>9781</v>
      </c>
      <c r="AB379" s="146">
        <f t="shared" si="72"/>
        <v>219</v>
      </c>
      <c r="AC379" s="147">
        <f t="shared" si="65"/>
        <v>0</v>
      </c>
      <c r="AD379" s="137">
        <v>183.580593708451</v>
      </c>
      <c r="AE379" s="138">
        <v>0.17647058823529399</v>
      </c>
      <c r="AF379" s="137">
        <f t="shared" si="71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hidden="1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558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558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2"/>
        <v>0</v>
      </c>
      <c r="U380" s="137">
        <f t="shared" si="66"/>
        <v>0</v>
      </c>
      <c r="V380" s="137">
        <v>40000</v>
      </c>
      <c r="W380" s="137">
        <f t="shared" si="67"/>
        <v>-40000</v>
      </c>
      <c r="X380" s="137">
        <f t="shared" si="63"/>
        <v>-40000</v>
      </c>
      <c r="Y380" s="137">
        <f t="shared" si="68"/>
        <v>0</v>
      </c>
      <c r="Z380" s="137">
        <v>38036.86</v>
      </c>
      <c r="AA380" s="137">
        <f t="shared" si="64"/>
        <v>1963.1399999999994</v>
      </c>
      <c r="AB380" s="146">
        <f t="shared" si="72"/>
        <v>38036.86</v>
      </c>
      <c r="AC380" s="147">
        <f t="shared" si="65"/>
        <v>0</v>
      </c>
      <c r="AD380" s="137">
        <v>4976.5429710911503</v>
      </c>
      <c r="AE380" s="138">
        <v>0.17647058823529399</v>
      </c>
      <c r="AF380" s="137">
        <f t="shared" si="71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hidden="1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558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558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2"/>
        <v>0</v>
      </c>
      <c r="U381" s="137">
        <f t="shared" si="66"/>
        <v>0</v>
      </c>
      <c r="V381" s="137">
        <v>0</v>
      </c>
      <c r="W381" s="137">
        <f t="shared" si="67"/>
        <v>0</v>
      </c>
      <c r="X381" s="137">
        <f t="shared" si="63"/>
        <v>0</v>
      </c>
      <c r="Y381" s="137">
        <f t="shared" si="68"/>
        <v>0</v>
      </c>
      <c r="Z381" s="137"/>
      <c r="AA381" s="137">
        <f t="shared" si="64"/>
        <v>0</v>
      </c>
      <c r="AB381" s="146">
        <f t="shared" si="72"/>
        <v>0</v>
      </c>
      <c r="AC381" s="147">
        <f t="shared" si="65"/>
        <v>0</v>
      </c>
      <c r="AD381" s="137">
        <v>26908.522515690802</v>
      </c>
      <c r="AE381" s="138">
        <v>0.17647058823529399</v>
      </c>
      <c r="AF381" s="137">
        <f t="shared" si="71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hidden="1" customHeight="1" x14ac:dyDescent="0.3">
      <c r="A382" s="119">
        <v>2017</v>
      </c>
      <c r="B382" s="119" t="s">
        <v>37</v>
      </c>
      <c r="C382" s="119" t="s">
        <v>53</v>
      </c>
      <c r="D382" s="131"/>
      <c r="E382" s="131"/>
      <c r="F382" s="131" t="s">
        <v>240</v>
      </c>
      <c r="G382" s="119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2"/>
        <v>0</v>
      </c>
      <c r="U382" s="137">
        <f t="shared" si="66"/>
        <v>0</v>
      </c>
      <c r="V382" s="137"/>
      <c r="W382" s="137">
        <f t="shared" si="67"/>
        <v>0</v>
      </c>
      <c r="X382" s="137">
        <f t="shared" si="63"/>
        <v>0</v>
      </c>
      <c r="Y382" s="137">
        <f t="shared" si="68"/>
        <v>0</v>
      </c>
      <c r="Z382" s="137"/>
      <c r="AA382" s="137">
        <f t="shared" si="64"/>
        <v>0</v>
      </c>
      <c r="AB382" s="146">
        <f t="shared" si="72"/>
        <v>0</v>
      </c>
      <c r="AC382" s="147">
        <f t="shared" si="65"/>
        <v>0</v>
      </c>
      <c r="AD382" s="137">
        <v>158288.385154244</v>
      </c>
      <c r="AE382" s="138">
        <v>0.17647058823529399</v>
      </c>
      <c r="AF382" s="137">
        <f t="shared" si="71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hidden="1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427</v>
      </c>
      <c r="G383" s="131" t="s">
        <v>428</v>
      </c>
      <c r="H383" s="131" t="s">
        <v>428</v>
      </c>
      <c r="I383" s="131" t="s">
        <v>241</v>
      </c>
      <c r="J383" s="119" t="s">
        <v>242</v>
      </c>
      <c r="K383" s="119" t="s">
        <v>243</v>
      </c>
      <c r="L383" s="119" t="s">
        <v>559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2"/>
        <v>0</v>
      </c>
      <c r="U383" s="137">
        <f t="shared" si="66"/>
        <v>0</v>
      </c>
      <c r="V383" s="137">
        <v>20000</v>
      </c>
      <c r="W383" s="137">
        <f t="shared" si="67"/>
        <v>-20000</v>
      </c>
      <c r="X383" s="137">
        <f t="shared" si="63"/>
        <v>-20000</v>
      </c>
      <c r="Y383" s="137">
        <f t="shared" si="68"/>
        <v>0</v>
      </c>
      <c r="Z383" s="137">
        <v>1322</v>
      </c>
      <c r="AA383" s="137">
        <f t="shared" si="64"/>
        <v>18678</v>
      </c>
      <c r="AB383" s="146">
        <f t="shared" si="72"/>
        <v>1322</v>
      </c>
      <c r="AC383" s="147">
        <f t="shared" si="65"/>
        <v>0</v>
      </c>
      <c r="AD383" s="137">
        <v>1108.18970266015</v>
      </c>
      <c r="AE383" s="138">
        <v>0.17647058823529399</v>
      </c>
      <c r="AF383" s="137">
        <f t="shared" si="71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hidden="1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488</v>
      </c>
      <c r="G384" s="131" t="s">
        <v>489</v>
      </c>
      <c r="H384" s="131" t="s">
        <v>489</v>
      </c>
      <c r="I384" s="131" t="s">
        <v>241</v>
      </c>
      <c r="J384" s="119" t="s">
        <v>242</v>
      </c>
      <c r="K384" s="119" t="s">
        <v>243</v>
      </c>
      <c r="L384" s="119" t="s">
        <v>560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2"/>
        <v>0</v>
      </c>
      <c r="U384" s="137">
        <f t="shared" si="66"/>
        <v>0</v>
      </c>
      <c r="V384" s="137">
        <v>10000</v>
      </c>
      <c r="W384" s="137">
        <f t="shared" si="67"/>
        <v>-10000</v>
      </c>
      <c r="X384" s="137">
        <f t="shared" si="63"/>
        <v>-10000</v>
      </c>
      <c r="Y384" s="137">
        <f t="shared" si="68"/>
        <v>0</v>
      </c>
      <c r="Z384" s="137">
        <v>641.4</v>
      </c>
      <c r="AA384" s="137">
        <f t="shared" si="64"/>
        <v>9358.6</v>
      </c>
      <c r="AB384" s="146">
        <f t="shared" si="72"/>
        <v>641.4</v>
      </c>
      <c r="AC384" s="147">
        <f t="shared" si="65"/>
        <v>0</v>
      </c>
      <c r="AD384" s="137">
        <v>537.66480732694401</v>
      </c>
      <c r="AE384" s="138">
        <v>0.17647058823529399</v>
      </c>
      <c r="AF384" s="137">
        <f t="shared" si="71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hidden="1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2"/>
        <v>0</v>
      </c>
      <c r="U385" s="137">
        <f t="shared" si="66"/>
        <v>0</v>
      </c>
      <c r="V385" s="137">
        <v>654000</v>
      </c>
      <c r="W385" s="137">
        <f t="shared" si="67"/>
        <v>-654000</v>
      </c>
      <c r="X385" s="137">
        <f t="shared" si="63"/>
        <v>-654000</v>
      </c>
      <c r="Y385" s="137">
        <f t="shared" si="68"/>
        <v>0</v>
      </c>
      <c r="Z385" s="137">
        <v>563887.4</v>
      </c>
      <c r="AA385" s="137">
        <f t="shared" si="64"/>
        <v>90112.599999999977</v>
      </c>
      <c r="AB385" s="146">
        <f t="shared" si="72"/>
        <v>563887.4</v>
      </c>
      <c r="AC385" s="147">
        <f t="shared" si="65"/>
        <v>0</v>
      </c>
      <c r="AD385" s="137">
        <v>472688.50993933802</v>
      </c>
      <c r="AE385" s="138">
        <v>0.17647058823529399</v>
      </c>
      <c r="AF385" s="137">
        <f t="shared" si="71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hidden="1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561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3">S386*N386</f>
        <v>0</v>
      </c>
      <c r="U386" s="137">
        <f t="shared" si="66"/>
        <v>0</v>
      </c>
      <c r="V386" s="137">
        <v>10000</v>
      </c>
      <c r="W386" s="137">
        <f t="shared" si="67"/>
        <v>-10000</v>
      </c>
      <c r="X386" s="137">
        <f t="shared" ref="X386:X449" si="74">W386/(1+N386)</f>
        <v>-10000</v>
      </c>
      <c r="Y386" s="137">
        <f t="shared" si="68"/>
        <v>0</v>
      </c>
      <c r="Z386" s="137">
        <v>3930.9</v>
      </c>
      <c r="AA386" s="137">
        <f t="shared" ref="AA386:AA449" si="75">Q386+V386-Z386</f>
        <v>6069.1</v>
      </c>
      <c r="AB386" s="146">
        <f t="shared" si="72"/>
        <v>3930.9</v>
      </c>
      <c r="AC386" s="147">
        <f t="shared" ref="AC386:AC449" si="76">IF(O386="返现",Z386*N386,Z386-AB386)</f>
        <v>0</v>
      </c>
      <c r="AD386" s="137">
        <v>3295.1459169340201</v>
      </c>
      <c r="AE386" s="138">
        <v>0.17647058823529399</v>
      </c>
      <c r="AF386" s="137">
        <f t="shared" si="71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hidden="1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524</v>
      </c>
      <c r="G387" s="131" t="s">
        <v>524</v>
      </c>
      <c r="H387" s="131" t="s">
        <v>524</v>
      </c>
      <c r="I387" s="131" t="s">
        <v>241</v>
      </c>
      <c r="J387" s="119" t="s">
        <v>242</v>
      </c>
      <c r="K387" s="119" t="s">
        <v>243</v>
      </c>
      <c r="L387" s="119" t="s">
        <v>1640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3"/>
        <v>0</v>
      </c>
      <c r="U387" s="137">
        <f t="shared" ref="U387:U450" si="77">R387+S387+T387</f>
        <v>0</v>
      </c>
      <c r="W387" s="137">
        <f t="shared" ref="W387:W450" si="78">U387-V387</f>
        <v>0</v>
      </c>
      <c r="X387" s="137">
        <f t="shared" si="74"/>
        <v>0</v>
      </c>
      <c r="Y387" s="137">
        <f t="shared" ref="Y387:Y450" si="79">W387-X387</f>
        <v>0</v>
      </c>
      <c r="Z387" s="137">
        <v>24233.58</v>
      </c>
      <c r="AA387" s="137">
        <f t="shared" si="75"/>
        <v>-24233.58</v>
      </c>
      <c r="AB387" s="146">
        <f t="shared" si="72"/>
        <v>23748.9084</v>
      </c>
      <c r="AC387" s="147">
        <f t="shared" si="76"/>
        <v>484.67160000000149</v>
      </c>
      <c r="AD387" s="137">
        <v>16775.242580706799</v>
      </c>
      <c r="AE387" s="138">
        <v>0.17647058823529399</v>
      </c>
      <c r="AF387" s="137">
        <f t="shared" si="71"/>
        <v>2960.3369260070799</v>
      </c>
      <c r="AG387" s="131"/>
      <c r="AH387" s="131"/>
      <c r="AI387" s="131"/>
      <c r="AJ387" s="135" t="s">
        <v>556</v>
      </c>
      <c r="AK387" s="131"/>
      <c r="AL387" s="131"/>
      <c r="AM387" s="131" t="s">
        <v>206</v>
      </c>
    </row>
    <row r="388" spans="1:39" s="119" customFormat="1" ht="15" hidden="1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3"/>
        <v>0</v>
      </c>
      <c r="U388" s="137">
        <f t="shared" si="77"/>
        <v>224300</v>
      </c>
      <c r="V388" s="137">
        <v>224300</v>
      </c>
      <c r="W388" s="137">
        <f t="shared" si="78"/>
        <v>0</v>
      </c>
      <c r="X388" s="137">
        <f t="shared" si="74"/>
        <v>0</v>
      </c>
      <c r="Y388" s="137">
        <f t="shared" si="79"/>
        <v>0</v>
      </c>
      <c r="Z388" s="137">
        <v>224300</v>
      </c>
      <c r="AA388" s="137">
        <f t="shared" si="75"/>
        <v>0</v>
      </c>
      <c r="AB388" s="146">
        <f t="shared" si="72"/>
        <v>224300</v>
      </c>
      <c r="AC388" s="147">
        <f t="shared" si="76"/>
        <v>0</v>
      </c>
      <c r="AD388" s="137">
        <v>84833.33</v>
      </c>
      <c r="AE388" s="135">
        <v>0.13</v>
      </c>
      <c r="AF388" s="137">
        <f t="shared" si="71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37</v>
      </c>
      <c r="C389" s="119" t="s">
        <v>1629</v>
      </c>
      <c r="D389" s="119" t="s">
        <v>1630</v>
      </c>
      <c r="E389" s="119" t="s">
        <v>1631</v>
      </c>
      <c r="F389" s="119" t="s">
        <v>269</v>
      </c>
      <c r="G389" s="119" t="s">
        <v>1628</v>
      </c>
      <c r="H389" s="119" t="s">
        <v>400</v>
      </c>
      <c r="I389" s="131" t="s">
        <v>241</v>
      </c>
      <c r="J389" s="119" t="s">
        <v>242</v>
      </c>
      <c r="K389" s="119" t="s">
        <v>243</v>
      </c>
      <c r="L389" s="119" t="s">
        <v>562</v>
      </c>
      <c r="M389" s="119" t="s">
        <v>45</v>
      </c>
      <c r="N389" s="135">
        <v>0.02</v>
      </c>
      <c r="O389" s="135" t="s">
        <v>1632</v>
      </c>
      <c r="P389" s="135"/>
      <c r="Q389" s="137">
        <v>0</v>
      </c>
      <c r="T389" s="137">
        <f t="shared" si="73"/>
        <v>0</v>
      </c>
      <c r="U389" s="137">
        <f t="shared" si="77"/>
        <v>0</v>
      </c>
      <c r="V389" s="137">
        <v>40800</v>
      </c>
      <c r="W389" s="137">
        <f t="shared" si="78"/>
        <v>-40800</v>
      </c>
      <c r="X389" s="137">
        <f t="shared" si="74"/>
        <v>-40000</v>
      </c>
      <c r="Y389" s="137">
        <f t="shared" si="79"/>
        <v>-800</v>
      </c>
      <c r="Z389" s="137">
        <v>6201.5</v>
      </c>
      <c r="AA389" s="137">
        <f t="shared" si="75"/>
        <v>34598.5</v>
      </c>
      <c r="AB389" s="146">
        <f t="shared" si="72"/>
        <v>6079.9019607843138</v>
      </c>
      <c r="AC389" s="147">
        <f t="shared" si="76"/>
        <v>121.59803921568619</v>
      </c>
      <c r="AD389" s="137">
        <v>5198.5162186436601</v>
      </c>
      <c r="AE389" s="138">
        <v>0.17647058823529399</v>
      </c>
      <c r="AF389" s="137">
        <f t="shared" si="71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hidden="1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427</v>
      </c>
      <c r="G390" s="131" t="s">
        <v>427</v>
      </c>
      <c r="H390" s="131" t="s">
        <v>427</v>
      </c>
      <c r="I390" s="131" t="s">
        <v>241</v>
      </c>
      <c r="J390" s="119" t="s">
        <v>242</v>
      </c>
      <c r="K390" s="119" t="s">
        <v>243</v>
      </c>
      <c r="L390" s="119" t="s">
        <v>563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3"/>
        <v>0</v>
      </c>
      <c r="U390" s="137">
        <f t="shared" si="77"/>
        <v>0</v>
      </c>
      <c r="V390" s="137">
        <v>20000</v>
      </c>
      <c r="W390" s="137">
        <f t="shared" si="78"/>
        <v>-20000</v>
      </c>
      <c r="X390" s="137">
        <f t="shared" si="74"/>
        <v>-20000</v>
      </c>
      <c r="Y390" s="137">
        <f t="shared" si="79"/>
        <v>0</v>
      </c>
      <c r="Z390" s="137">
        <v>718.5</v>
      </c>
      <c r="AA390" s="137">
        <f t="shared" si="75"/>
        <v>19281.5</v>
      </c>
      <c r="AB390" s="146">
        <f t="shared" si="72"/>
        <v>718.5</v>
      </c>
      <c r="AC390" s="147">
        <f t="shared" si="76"/>
        <v>0</v>
      </c>
      <c r="AD390" s="137">
        <v>602.29523552293301</v>
      </c>
      <c r="AE390" s="138">
        <v>0.17647058823529399</v>
      </c>
      <c r="AF390" s="137">
        <f t="shared" si="71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hidden="1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564</v>
      </c>
      <c r="G391" s="119" t="s">
        <v>565</v>
      </c>
      <c r="H391" s="119" t="s">
        <v>565</v>
      </c>
      <c r="I391" s="119" t="s">
        <v>168</v>
      </c>
      <c r="J391" s="119" t="s">
        <v>169</v>
      </c>
      <c r="K391" s="119" t="s">
        <v>170</v>
      </c>
      <c r="L391" s="119" t="s">
        <v>566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3"/>
        <v>2800.0000000000005</v>
      </c>
      <c r="U391" s="137">
        <f t="shared" si="77"/>
        <v>22800</v>
      </c>
      <c r="V391" s="137">
        <v>34958.53</v>
      </c>
      <c r="W391" s="137">
        <f t="shared" si="78"/>
        <v>-12158.529999999999</v>
      </c>
      <c r="X391" s="137">
        <f t="shared" si="74"/>
        <v>-10665.377192982454</v>
      </c>
      <c r="Y391" s="137">
        <f t="shared" si="79"/>
        <v>-1493.1528070175445</v>
      </c>
      <c r="Z391" s="137">
        <v>185823.46580000001</v>
      </c>
      <c r="AA391" s="137">
        <f t="shared" si="75"/>
        <v>-150864.93580000001</v>
      </c>
      <c r="AB391" s="146">
        <f t="shared" si="72"/>
        <v>163003.0401754386</v>
      </c>
      <c r="AC391" s="147">
        <f t="shared" si="76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1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567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3"/>
        <v>0</v>
      </c>
      <c r="U392" s="137">
        <f t="shared" si="77"/>
        <v>0</v>
      </c>
      <c r="V392" s="137">
        <v>688</v>
      </c>
      <c r="W392" s="137">
        <f t="shared" si="78"/>
        <v>-688</v>
      </c>
      <c r="X392" s="137">
        <f t="shared" si="74"/>
        <v>-674.50980392156862</v>
      </c>
      <c r="Y392" s="137">
        <f t="shared" si="79"/>
        <v>-13.490196078431381</v>
      </c>
      <c r="AA392" s="137">
        <f t="shared" si="75"/>
        <v>688</v>
      </c>
      <c r="AB392" s="146">
        <f t="shared" si="72"/>
        <v>0</v>
      </c>
      <c r="AC392" s="147">
        <f t="shared" si="76"/>
        <v>0</v>
      </c>
      <c r="AD392" s="131">
        <v>0</v>
      </c>
      <c r="AE392" s="131"/>
      <c r="AF392" s="137">
        <f t="shared" si="71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hidden="1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498</v>
      </c>
      <c r="G393" s="131" t="s">
        <v>498</v>
      </c>
      <c r="H393" s="131" t="s">
        <v>498</v>
      </c>
      <c r="I393" s="131" t="s">
        <v>241</v>
      </c>
      <c r="J393" s="119" t="s">
        <v>242</v>
      </c>
      <c r="K393" s="119" t="s">
        <v>243</v>
      </c>
      <c r="L393" s="119" t="s">
        <v>568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3"/>
        <v>0</v>
      </c>
      <c r="U393" s="137">
        <f t="shared" si="77"/>
        <v>0</v>
      </c>
      <c r="V393" s="137">
        <v>0</v>
      </c>
      <c r="W393" s="137">
        <f t="shared" si="78"/>
        <v>0</v>
      </c>
      <c r="X393" s="137">
        <f t="shared" si="74"/>
        <v>0</v>
      </c>
      <c r="Y393" s="137">
        <f t="shared" si="79"/>
        <v>0</v>
      </c>
      <c r="Z393" s="131"/>
      <c r="AA393" s="137">
        <f t="shared" si="75"/>
        <v>0</v>
      </c>
      <c r="AB393" s="146">
        <f t="shared" si="72"/>
        <v>0</v>
      </c>
      <c r="AC393" s="147">
        <f t="shared" si="76"/>
        <v>0</v>
      </c>
      <c r="AD393" s="131">
        <v>0</v>
      </c>
      <c r="AE393" s="131"/>
      <c r="AF393" s="137">
        <f t="shared" si="71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hidden="1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3"/>
        <v>0</v>
      </c>
      <c r="U394" s="137">
        <f t="shared" si="77"/>
        <v>0</v>
      </c>
      <c r="V394" s="137">
        <v>15000</v>
      </c>
      <c r="W394" s="137">
        <f t="shared" si="78"/>
        <v>-15000</v>
      </c>
      <c r="X394" s="137">
        <f t="shared" si="74"/>
        <v>-15000</v>
      </c>
      <c r="Y394" s="137">
        <f t="shared" si="79"/>
        <v>0</v>
      </c>
      <c r="Z394" s="131"/>
      <c r="AA394" s="137">
        <f t="shared" si="75"/>
        <v>15000</v>
      </c>
      <c r="AB394" s="146">
        <f t="shared" si="72"/>
        <v>0</v>
      </c>
      <c r="AC394" s="147">
        <f t="shared" si="76"/>
        <v>0</v>
      </c>
      <c r="AD394" s="131">
        <v>0</v>
      </c>
      <c r="AE394" s="131"/>
      <c r="AF394" s="137">
        <f t="shared" si="71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hidden="1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3"/>
        <v>0</v>
      </c>
      <c r="U395" s="137">
        <f t="shared" si="77"/>
        <v>0</v>
      </c>
      <c r="V395" s="137">
        <v>15000</v>
      </c>
      <c r="W395" s="137">
        <f t="shared" si="78"/>
        <v>-15000</v>
      </c>
      <c r="X395" s="137">
        <f t="shared" si="74"/>
        <v>-15000</v>
      </c>
      <c r="Y395" s="137">
        <f t="shared" si="79"/>
        <v>0</v>
      </c>
      <c r="Z395" s="131"/>
      <c r="AA395" s="137">
        <f t="shared" si="75"/>
        <v>15000</v>
      </c>
      <c r="AB395" s="146">
        <f t="shared" si="72"/>
        <v>0</v>
      </c>
      <c r="AC395" s="147">
        <f t="shared" si="76"/>
        <v>0</v>
      </c>
      <c r="AD395" s="131">
        <v>0</v>
      </c>
      <c r="AE395" s="131"/>
      <c r="AF395" s="137">
        <f t="shared" si="71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hidden="1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3"/>
        <v>0</v>
      </c>
      <c r="U396" s="137">
        <f t="shared" si="77"/>
        <v>0</v>
      </c>
      <c r="V396" s="137">
        <v>15000</v>
      </c>
      <c r="W396" s="137">
        <f t="shared" si="78"/>
        <v>-15000</v>
      </c>
      <c r="X396" s="137">
        <f t="shared" si="74"/>
        <v>-15000</v>
      </c>
      <c r="Y396" s="137">
        <f t="shared" si="79"/>
        <v>0</v>
      </c>
      <c r="Z396" s="131"/>
      <c r="AA396" s="137">
        <f t="shared" si="75"/>
        <v>15000</v>
      </c>
      <c r="AB396" s="146">
        <f t="shared" si="72"/>
        <v>0</v>
      </c>
      <c r="AC396" s="147">
        <f t="shared" si="76"/>
        <v>0</v>
      </c>
      <c r="AD396" s="131">
        <v>0</v>
      </c>
      <c r="AE396" s="131"/>
      <c r="AF396" s="137">
        <f t="shared" si="71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hidden="1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427</v>
      </c>
      <c r="G397" s="131" t="s">
        <v>428</v>
      </c>
      <c r="H397" s="131" t="s">
        <v>428</v>
      </c>
      <c r="I397" s="131" t="s">
        <v>241</v>
      </c>
      <c r="J397" s="119" t="s">
        <v>242</v>
      </c>
      <c r="K397" s="119" t="s">
        <v>243</v>
      </c>
      <c r="L397" s="119" t="s">
        <v>569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3"/>
        <v>0</v>
      </c>
      <c r="U397" s="137">
        <f t="shared" si="77"/>
        <v>0</v>
      </c>
      <c r="V397" s="137">
        <v>20000</v>
      </c>
      <c r="W397" s="137">
        <f t="shared" si="78"/>
        <v>-20000</v>
      </c>
      <c r="X397" s="137">
        <f t="shared" si="74"/>
        <v>-20000</v>
      </c>
      <c r="Y397" s="137">
        <f t="shared" si="79"/>
        <v>0</v>
      </c>
      <c r="Z397" s="131"/>
      <c r="AA397" s="137">
        <f t="shared" si="75"/>
        <v>20000</v>
      </c>
      <c r="AB397" s="146">
        <f t="shared" si="72"/>
        <v>0</v>
      </c>
      <c r="AC397" s="147">
        <f t="shared" si="76"/>
        <v>0</v>
      </c>
      <c r="AD397" s="131">
        <v>0</v>
      </c>
      <c r="AE397" s="131"/>
      <c r="AF397" s="137">
        <f t="shared" si="71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hidden="1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524</v>
      </c>
      <c r="G398" s="131" t="s">
        <v>524</v>
      </c>
      <c r="H398" s="131" t="s">
        <v>524</v>
      </c>
      <c r="I398" s="131" t="s">
        <v>241</v>
      </c>
      <c r="J398" s="119" t="s">
        <v>242</v>
      </c>
      <c r="K398" s="119" t="s">
        <v>243</v>
      </c>
      <c r="L398" s="119" t="s">
        <v>525</v>
      </c>
      <c r="M398" s="119" t="s">
        <v>45</v>
      </c>
      <c r="N398" s="135">
        <v>0</v>
      </c>
      <c r="O398" s="135" t="s">
        <v>1641</v>
      </c>
      <c r="P398" s="135"/>
      <c r="Q398" s="131"/>
      <c r="R398" s="131"/>
      <c r="S398" s="131"/>
      <c r="T398" s="137">
        <f t="shared" si="73"/>
        <v>0</v>
      </c>
      <c r="U398" s="137">
        <f t="shared" si="77"/>
        <v>0</v>
      </c>
      <c r="V398" s="137">
        <v>170000</v>
      </c>
      <c r="W398" s="137">
        <f t="shared" si="78"/>
        <v>-170000</v>
      </c>
      <c r="X398" s="137">
        <f t="shared" si="74"/>
        <v>-170000</v>
      </c>
      <c r="Y398" s="137">
        <f t="shared" si="79"/>
        <v>0</v>
      </c>
      <c r="Z398" s="224">
        <v>150856.51</v>
      </c>
      <c r="AA398" s="137">
        <f t="shared" si="75"/>
        <v>19143.489999999991</v>
      </c>
      <c r="AB398" s="146">
        <f t="shared" si="72"/>
        <v>150856.51</v>
      </c>
      <c r="AC398" s="147">
        <f t="shared" si="76"/>
        <v>0</v>
      </c>
      <c r="AD398" s="131">
        <v>0</v>
      </c>
      <c r="AE398" s="131"/>
      <c r="AF398" s="137">
        <f t="shared" si="71"/>
        <v>0</v>
      </c>
      <c r="AG398" s="131"/>
      <c r="AH398" s="131"/>
      <c r="AI398" s="131"/>
      <c r="AJ398" s="135" t="s">
        <v>556</v>
      </c>
      <c r="AK398" s="131"/>
      <c r="AL398" s="131"/>
      <c r="AM398" s="131" t="s">
        <v>206</v>
      </c>
    </row>
    <row r="399" spans="1:39" s="119" customFormat="1" ht="15" hidden="1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535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536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3"/>
        <v>0</v>
      </c>
      <c r="U399" s="137">
        <f t="shared" si="77"/>
        <v>0</v>
      </c>
      <c r="V399" s="137">
        <v>37500</v>
      </c>
      <c r="W399" s="137">
        <f t="shared" si="78"/>
        <v>-37500</v>
      </c>
      <c r="X399" s="137">
        <f t="shared" si="74"/>
        <v>-37500</v>
      </c>
      <c r="Y399" s="137">
        <f t="shared" si="79"/>
        <v>0</v>
      </c>
      <c r="Z399" s="131"/>
      <c r="AA399" s="137">
        <f t="shared" si="75"/>
        <v>37500</v>
      </c>
      <c r="AB399" s="146">
        <f t="shared" si="72"/>
        <v>0</v>
      </c>
      <c r="AC399" s="147">
        <f t="shared" si="76"/>
        <v>0</v>
      </c>
      <c r="AD399" s="131">
        <v>0</v>
      </c>
      <c r="AE399" s="131"/>
      <c r="AF399" s="137">
        <f t="shared" si="71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hidden="1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3"/>
        <v>0</v>
      </c>
      <c r="U400" s="137">
        <f t="shared" si="77"/>
        <v>0</v>
      </c>
      <c r="V400" s="137">
        <v>15000</v>
      </c>
      <c r="W400" s="137">
        <f t="shared" si="78"/>
        <v>-15000</v>
      </c>
      <c r="X400" s="137">
        <f t="shared" si="74"/>
        <v>-15000</v>
      </c>
      <c r="Y400" s="137">
        <f t="shared" si="79"/>
        <v>0</v>
      </c>
      <c r="Z400" s="131"/>
      <c r="AA400" s="137">
        <f t="shared" si="75"/>
        <v>15000</v>
      </c>
      <c r="AB400" s="146">
        <f t="shared" si="72"/>
        <v>0</v>
      </c>
      <c r="AC400" s="147">
        <f t="shared" si="76"/>
        <v>0</v>
      </c>
      <c r="AD400" s="131">
        <v>0</v>
      </c>
      <c r="AE400" s="131"/>
      <c r="AF400" s="137">
        <f t="shared" si="71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hidden="1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570</v>
      </c>
      <c r="G401" s="119" t="s">
        <v>571</v>
      </c>
      <c r="H401" s="119" t="s">
        <v>571</v>
      </c>
      <c r="I401" s="163" t="s">
        <v>202</v>
      </c>
      <c r="J401" s="119" t="s">
        <v>572</v>
      </c>
      <c r="K401" s="119" t="s">
        <v>573</v>
      </c>
      <c r="L401" s="119" t="s">
        <v>574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3"/>
        <v>1250</v>
      </c>
      <c r="U401" s="137">
        <f t="shared" si="77"/>
        <v>26250</v>
      </c>
      <c r="V401" s="137">
        <v>30000</v>
      </c>
      <c r="W401" s="137">
        <f t="shared" si="78"/>
        <v>-3750</v>
      </c>
      <c r="X401" s="137">
        <f t="shared" si="74"/>
        <v>-3571.4285714285711</v>
      </c>
      <c r="Y401" s="137">
        <f t="shared" si="79"/>
        <v>-178.5714285714289</v>
      </c>
      <c r="Z401" s="137">
        <v>21319</v>
      </c>
      <c r="AA401" s="137">
        <f t="shared" si="75"/>
        <v>8681</v>
      </c>
      <c r="AB401" s="146">
        <f t="shared" si="72"/>
        <v>20303.809523809523</v>
      </c>
      <c r="AC401" s="147">
        <f t="shared" si="76"/>
        <v>1015.1904761904771</v>
      </c>
      <c r="AD401" s="137">
        <f t="shared" ref="AD401:AD417" si="80">Z401*0.980277351080772</f>
        <v>20898.532847690978</v>
      </c>
      <c r="AE401" s="138">
        <v>0.1077</v>
      </c>
      <c r="AF401" s="137">
        <f t="shared" si="71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hidden="1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575</v>
      </c>
      <c r="F402" s="119" t="s">
        <v>576</v>
      </c>
      <c r="G402" s="119" t="s">
        <v>576</v>
      </c>
      <c r="H402" s="119" t="s">
        <v>576</v>
      </c>
      <c r="I402" s="163" t="s">
        <v>202</v>
      </c>
      <c r="J402" s="119" t="s">
        <v>572</v>
      </c>
      <c r="K402" s="119" t="s">
        <v>573</v>
      </c>
      <c r="L402" s="119" t="s">
        <v>577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3"/>
        <v>500</v>
      </c>
      <c r="U402" s="137">
        <f t="shared" si="77"/>
        <v>10500</v>
      </c>
      <c r="V402" s="137">
        <v>10000</v>
      </c>
      <c r="W402" s="137">
        <f t="shared" si="78"/>
        <v>500</v>
      </c>
      <c r="X402" s="137">
        <f t="shared" si="74"/>
        <v>476.19047619047615</v>
      </c>
      <c r="Y402" s="137">
        <f t="shared" si="79"/>
        <v>23.809523809523853</v>
      </c>
      <c r="Z402" s="137">
        <v>10000</v>
      </c>
      <c r="AA402" s="137">
        <f t="shared" si="75"/>
        <v>0</v>
      </c>
      <c r="AB402" s="146">
        <f t="shared" si="72"/>
        <v>9523.8095238095229</v>
      </c>
      <c r="AC402" s="147">
        <f t="shared" si="76"/>
        <v>476.19047619047706</v>
      </c>
      <c r="AD402" s="137">
        <f t="shared" si="80"/>
        <v>9802.7735108077195</v>
      </c>
      <c r="AE402" s="138">
        <v>0.1077</v>
      </c>
      <c r="AF402" s="137">
        <f t="shared" si="71"/>
        <v>1055.7587071139915</v>
      </c>
      <c r="AG402" s="137">
        <v>600.80952380952294</v>
      </c>
      <c r="AH402" s="154"/>
      <c r="AI402" s="154"/>
      <c r="AJ402" s="135" t="s">
        <v>578</v>
      </c>
      <c r="AK402" s="119" t="s">
        <v>578</v>
      </c>
      <c r="AM402" s="131"/>
    </row>
    <row r="403" spans="1:39" s="119" customFormat="1" ht="15" hidden="1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575</v>
      </c>
      <c r="F403" s="119" t="s">
        <v>579</v>
      </c>
      <c r="G403" s="119" t="s">
        <v>580</v>
      </c>
      <c r="H403" s="119" t="s">
        <v>580</v>
      </c>
      <c r="I403" s="163" t="s">
        <v>202</v>
      </c>
      <c r="J403" s="119" t="s">
        <v>572</v>
      </c>
      <c r="K403" s="119" t="s">
        <v>573</v>
      </c>
      <c r="L403" s="119" t="s">
        <v>581</v>
      </c>
      <c r="M403" s="119" t="s">
        <v>45</v>
      </c>
      <c r="N403" s="136">
        <v>0</v>
      </c>
      <c r="O403" s="135" t="s">
        <v>492</v>
      </c>
      <c r="P403" s="135"/>
      <c r="Q403" s="137">
        <v>0</v>
      </c>
      <c r="R403" s="137">
        <v>0</v>
      </c>
      <c r="S403" s="137">
        <v>5000</v>
      </c>
      <c r="T403" s="137">
        <f t="shared" si="73"/>
        <v>0</v>
      </c>
      <c r="U403" s="137">
        <f t="shared" si="77"/>
        <v>5000</v>
      </c>
      <c r="V403" s="137">
        <v>5240.6499999999996</v>
      </c>
      <c r="W403" s="137">
        <f t="shared" si="78"/>
        <v>-240.64999999999964</v>
      </c>
      <c r="X403" s="137">
        <f t="shared" si="74"/>
        <v>-240.64999999999964</v>
      </c>
      <c r="Y403" s="137">
        <f t="shared" si="79"/>
        <v>0</v>
      </c>
      <c r="Z403" s="137">
        <v>4813</v>
      </c>
      <c r="AA403" s="137">
        <f t="shared" si="75"/>
        <v>427.64999999999964</v>
      </c>
      <c r="AB403" s="146">
        <f t="shared" si="72"/>
        <v>4813</v>
      </c>
      <c r="AC403" s="147">
        <f t="shared" si="76"/>
        <v>0</v>
      </c>
      <c r="AD403" s="137">
        <f t="shared" si="80"/>
        <v>4718.0748907517554</v>
      </c>
      <c r="AE403" s="138">
        <v>0.1077</v>
      </c>
      <c r="AF403" s="137">
        <f t="shared" si="71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582</v>
      </c>
      <c r="G404" s="119" t="s">
        <v>583</v>
      </c>
      <c r="H404" s="119" t="s">
        <v>583</v>
      </c>
      <c r="I404" s="163" t="s">
        <v>202</v>
      </c>
      <c r="J404" s="119" t="s">
        <v>572</v>
      </c>
      <c r="K404" s="119" t="s">
        <v>573</v>
      </c>
      <c r="L404" s="119" t="s">
        <v>584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3"/>
        <v>56991.824000000008</v>
      </c>
      <c r="U404" s="137">
        <f t="shared" si="77"/>
        <v>413190.72400000005</v>
      </c>
      <c r="V404" s="137">
        <v>0</v>
      </c>
      <c r="W404" s="137">
        <f t="shared" si="78"/>
        <v>413190.72400000005</v>
      </c>
      <c r="X404" s="137">
        <f t="shared" si="74"/>
        <v>356198.90000000008</v>
      </c>
      <c r="Y404" s="137">
        <f t="shared" si="79"/>
        <v>56991.823999999964</v>
      </c>
      <c r="Z404" s="137">
        <v>356198.9</v>
      </c>
      <c r="AA404" s="137">
        <f t="shared" si="75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6"/>
        <v>56027.434482758632</v>
      </c>
      <c r="AD404" s="137">
        <f t="shared" si="80"/>
        <v>349173.71414988482</v>
      </c>
      <c r="AE404" s="138">
        <v>0.31559999999999999</v>
      </c>
      <c r="AF404" s="137">
        <f t="shared" si="71"/>
        <v>110199.22418570364</v>
      </c>
      <c r="AG404" s="137">
        <v>63285.490081379401</v>
      </c>
      <c r="AH404" s="154"/>
      <c r="AI404" s="154"/>
      <c r="AJ404" s="135" t="s">
        <v>585</v>
      </c>
      <c r="AK404" s="119" t="s">
        <v>585</v>
      </c>
      <c r="AL404" s="119" t="s">
        <v>586</v>
      </c>
      <c r="AM404" s="131"/>
    </row>
    <row r="405" spans="1:39" s="119" customFormat="1" ht="15" hidden="1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582</v>
      </c>
      <c r="G405" s="119" t="s">
        <v>583</v>
      </c>
      <c r="H405" s="119" t="s">
        <v>583</v>
      </c>
      <c r="I405" s="163" t="s">
        <v>202</v>
      </c>
      <c r="J405" s="119" t="s">
        <v>572</v>
      </c>
      <c r="K405" s="119" t="s">
        <v>573</v>
      </c>
      <c r="L405" s="119" t="s">
        <v>584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3"/>
        <v>7994.3034000000007</v>
      </c>
      <c r="U405" s="137">
        <f t="shared" si="77"/>
        <v>141232.69340000002</v>
      </c>
      <c r="V405" s="137">
        <v>609700</v>
      </c>
      <c r="W405" s="137">
        <f t="shared" si="78"/>
        <v>-468467.30660000001</v>
      </c>
      <c r="X405" s="137">
        <f t="shared" si="74"/>
        <v>-441950.289245283</v>
      </c>
      <c r="Y405" s="137">
        <f t="shared" si="79"/>
        <v>-26517.017354717012</v>
      </c>
      <c r="Z405" s="137">
        <v>200738.39</v>
      </c>
      <c r="AA405" s="137">
        <f t="shared" si="75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6"/>
        <v>13909.720188679261</v>
      </c>
      <c r="AD405" s="137">
        <f t="shared" si="80"/>
        <v>196779.29720941893</v>
      </c>
      <c r="AE405" s="138">
        <v>0.1077</v>
      </c>
      <c r="AF405" s="137">
        <f t="shared" si="71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586</v>
      </c>
      <c r="AM405" s="131"/>
    </row>
    <row r="406" spans="1:39" s="119" customFormat="1" ht="15" hidden="1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587</v>
      </c>
      <c r="G406" s="119" t="s">
        <v>588</v>
      </c>
      <c r="H406" s="119" t="s">
        <v>588</v>
      </c>
      <c r="I406" s="163" t="s">
        <v>202</v>
      </c>
      <c r="J406" s="119" t="s">
        <v>572</v>
      </c>
      <c r="K406" s="119" t="s">
        <v>573</v>
      </c>
      <c r="L406" s="119" t="s">
        <v>587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3"/>
        <v>1316.8966</v>
      </c>
      <c r="U406" s="137">
        <f t="shared" si="77"/>
        <v>67161.726599999995</v>
      </c>
      <c r="V406" s="137">
        <v>80000</v>
      </c>
      <c r="W406" s="137">
        <f t="shared" si="78"/>
        <v>-12838.273400000005</v>
      </c>
      <c r="X406" s="137">
        <f t="shared" si="74"/>
        <v>-12586.542549019612</v>
      </c>
      <c r="Y406" s="137">
        <f t="shared" si="79"/>
        <v>-251.73085098039337</v>
      </c>
      <c r="Z406" s="137">
        <v>65844.83</v>
      </c>
      <c r="AA406" s="137">
        <f t="shared" si="75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6"/>
        <v>1291.0750980392186</v>
      </c>
      <c r="AD406" s="137">
        <f t="shared" si="80"/>
        <v>64546.195534763749</v>
      </c>
      <c r="AE406" s="138">
        <v>0.1077</v>
      </c>
      <c r="AF406" s="137">
        <f t="shared" si="71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hidden="1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589</v>
      </c>
      <c r="G407" s="119" t="s">
        <v>589</v>
      </c>
      <c r="H407" s="119" t="s">
        <v>589</v>
      </c>
      <c r="I407" s="163" t="s">
        <v>202</v>
      </c>
      <c r="J407" s="119" t="s">
        <v>572</v>
      </c>
      <c r="K407" s="119" t="s">
        <v>573</v>
      </c>
      <c r="L407" s="119" t="s">
        <v>589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3"/>
        <v>4795.6102000000001</v>
      </c>
      <c r="U407" s="137">
        <f t="shared" si="77"/>
        <v>244576.1202</v>
      </c>
      <c r="V407" s="137">
        <v>255000</v>
      </c>
      <c r="W407" s="137">
        <f t="shared" si="78"/>
        <v>-10423.879799999995</v>
      </c>
      <c r="X407" s="137">
        <f t="shared" si="74"/>
        <v>-10219.489999999994</v>
      </c>
      <c r="Y407" s="137">
        <f t="shared" si="79"/>
        <v>-204.38980000000083</v>
      </c>
      <c r="Z407" s="137">
        <v>244576.12</v>
      </c>
      <c r="AA407" s="137">
        <f t="shared" si="75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6"/>
        <v>4795.610196078429</v>
      </c>
      <c r="AD407" s="137">
        <f t="shared" si="80"/>
        <v>239752.431051213</v>
      </c>
      <c r="AE407" s="138">
        <v>0.1077</v>
      </c>
      <c r="AF407" s="137">
        <f t="shared" si="71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590</v>
      </c>
      <c r="G408" s="119" t="s">
        <v>590</v>
      </c>
      <c r="H408" s="119" t="s">
        <v>590</v>
      </c>
      <c r="I408" s="163" t="s">
        <v>202</v>
      </c>
      <c r="J408" s="119" t="s">
        <v>572</v>
      </c>
      <c r="K408" s="119" t="s">
        <v>573</v>
      </c>
      <c r="L408" s="119" t="s">
        <v>591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3"/>
        <v>13057.6924</v>
      </c>
      <c r="U408" s="137">
        <f t="shared" si="77"/>
        <v>339500.0024</v>
      </c>
      <c r="V408" s="137">
        <v>364000</v>
      </c>
      <c r="W408" s="137">
        <f t="shared" si="78"/>
        <v>-24499.997600000002</v>
      </c>
      <c r="X408" s="137">
        <f t="shared" si="74"/>
        <v>-23557.690000000002</v>
      </c>
      <c r="Y408" s="137">
        <f t="shared" si="79"/>
        <v>-942.30760000000009</v>
      </c>
      <c r="Z408" s="137">
        <v>339500</v>
      </c>
      <c r="AA408" s="137">
        <f t="shared" si="75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6"/>
        <v>13057.692307692312</v>
      </c>
      <c r="AD408" s="137">
        <f t="shared" si="80"/>
        <v>332804.16069192206</v>
      </c>
      <c r="AE408" s="138">
        <v>0.1077</v>
      </c>
      <c r="AF408" s="137">
        <f t="shared" si="71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hidden="1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572</v>
      </c>
      <c r="K409" s="119" t="s">
        <v>573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 t="s">
        <v>1691</v>
      </c>
      <c r="Q409" s="137">
        <f>852633.48+79.57</f>
        <v>852713.04999999993</v>
      </c>
      <c r="R409" s="137">
        <v>0</v>
      </c>
      <c r="S409" s="137">
        <v>16177470.59</v>
      </c>
      <c r="T409" s="137">
        <f t="shared" si="73"/>
        <v>323549.4118</v>
      </c>
      <c r="U409" s="137">
        <f t="shared" si="77"/>
        <v>16501020.001800001</v>
      </c>
      <c r="V409" s="137">
        <v>17760200</v>
      </c>
      <c r="W409" s="137">
        <f t="shared" si="78"/>
        <v>-1259179.9981999993</v>
      </c>
      <c r="X409" s="137">
        <f t="shared" si="74"/>
        <v>-1234490.1943137248</v>
      </c>
      <c r="Y409" s="137">
        <f t="shared" si="79"/>
        <v>-24689.803886274574</v>
      </c>
      <c r="Z409" s="137">
        <v>18177686.649999999</v>
      </c>
      <c r="AA409" s="137">
        <f t="shared" si="75"/>
        <v>435226.40000000224</v>
      </c>
      <c r="AB409" s="146">
        <f>(Z409-Q409-900000-336200)/(1+N409)</f>
        <v>15773307.450980389</v>
      </c>
      <c r="AC409" s="147">
        <f t="shared" si="76"/>
        <v>2404379.199019609</v>
      </c>
      <c r="AD409" s="137">
        <f t="shared" si="80"/>
        <v>17819174.51803831</v>
      </c>
      <c r="AE409" s="138">
        <v>0.1077</v>
      </c>
      <c r="AF409" s="137">
        <f t="shared" si="71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hidden="1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572</v>
      </c>
      <c r="K410" s="119" t="s">
        <v>573</v>
      </c>
      <c r="L410" s="119" t="s">
        <v>167</v>
      </c>
      <c r="M410" s="119" t="s">
        <v>183</v>
      </c>
      <c r="N410" s="136">
        <v>0.02</v>
      </c>
      <c r="O410" s="135" t="s">
        <v>50</v>
      </c>
      <c r="P410" s="135"/>
      <c r="Q410" s="137">
        <v>7908.42</v>
      </c>
      <c r="R410" s="137">
        <v>0</v>
      </c>
      <c r="S410" s="137">
        <v>22529.41</v>
      </c>
      <c r="T410" s="137">
        <f t="shared" si="73"/>
        <v>450.58820000000003</v>
      </c>
      <c r="U410" s="137">
        <f t="shared" si="77"/>
        <v>22979.998199999998</v>
      </c>
      <c r="V410" s="137">
        <v>0</v>
      </c>
      <c r="W410" s="137">
        <f t="shared" si="78"/>
        <v>22979.998199999998</v>
      </c>
      <c r="X410" s="137">
        <f t="shared" si="74"/>
        <v>22529.409999999996</v>
      </c>
      <c r="Y410" s="137">
        <f t="shared" si="79"/>
        <v>450.58820000000196</v>
      </c>
      <c r="Z410" s="137">
        <v>30888.42</v>
      </c>
      <c r="AA410" s="137">
        <f t="shared" si="75"/>
        <v>-22980</v>
      </c>
      <c r="AB410" s="146">
        <f>(Z410-Q410)/(1+N410)</f>
        <v>22529.411764705881</v>
      </c>
      <c r="AC410" s="147">
        <f t="shared" si="76"/>
        <v>8359.0082352941172</v>
      </c>
      <c r="AD410" s="137">
        <f t="shared" si="80"/>
        <v>30279.218536670338</v>
      </c>
      <c r="AE410" s="138">
        <v>0.31559999999999999</v>
      </c>
      <c r="AF410" s="137">
        <f t="shared" si="71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hidden="1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119" t="s">
        <v>167</v>
      </c>
      <c r="G411" s="119" t="s">
        <v>167</v>
      </c>
      <c r="H411" s="119" t="s">
        <v>167</v>
      </c>
      <c r="I411" s="163" t="s">
        <v>202</v>
      </c>
      <c r="J411" s="119" t="s">
        <v>572</v>
      </c>
      <c r="K411" s="119" t="s">
        <v>573</v>
      </c>
      <c r="L411" s="119" t="s">
        <v>167</v>
      </c>
      <c r="M411" s="119" t="s">
        <v>592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3"/>
        <v>0</v>
      </c>
      <c r="U411" s="137">
        <f t="shared" si="77"/>
        <v>1750</v>
      </c>
      <c r="V411" s="137">
        <v>1750</v>
      </c>
      <c r="W411" s="137">
        <f t="shared" si="78"/>
        <v>0</v>
      </c>
      <c r="X411" s="137">
        <f t="shared" si="74"/>
        <v>0</v>
      </c>
      <c r="Y411" s="137">
        <f t="shared" si="79"/>
        <v>0</v>
      </c>
      <c r="Z411" s="137">
        <v>1750</v>
      </c>
      <c r="AA411" s="137">
        <f t="shared" si="75"/>
        <v>0</v>
      </c>
      <c r="AB411" s="146">
        <f>IF(O411="返货",Z411/(1+N411),IF(O411="返现",Z411,IF(O411="折扣",Z411*N411,IF(O411="无",Z411))))</f>
        <v>1750</v>
      </c>
      <c r="AC411" s="147">
        <f t="shared" si="76"/>
        <v>0</v>
      </c>
      <c r="AD411" s="137">
        <f t="shared" si="80"/>
        <v>1715.4853643913509</v>
      </c>
      <c r="AE411" s="138">
        <v>0.35339999999999999</v>
      </c>
      <c r="AF411" s="137">
        <f t="shared" si="71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hidden="1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593</v>
      </c>
      <c r="G412" s="119" t="s">
        <v>593</v>
      </c>
      <c r="H412" s="119" t="s">
        <v>593</v>
      </c>
      <c r="I412" s="163" t="s">
        <v>202</v>
      </c>
      <c r="J412" s="119" t="s">
        <v>572</v>
      </c>
      <c r="K412" s="119" t="s">
        <v>573</v>
      </c>
      <c r="L412" s="119" t="s">
        <v>594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3"/>
        <v>1176.54</v>
      </c>
      <c r="U412" s="137">
        <f t="shared" si="77"/>
        <v>60003.54</v>
      </c>
      <c r="V412" s="137">
        <v>61200</v>
      </c>
      <c r="W412" s="137">
        <f t="shared" si="78"/>
        <v>-1196.4599999999991</v>
      </c>
      <c r="X412" s="137">
        <f t="shared" si="74"/>
        <v>-1172.9999999999991</v>
      </c>
      <c r="Y412" s="137">
        <f t="shared" si="79"/>
        <v>-23.460000000000036</v>
      </c>
      <c r="Z412" s="137">
        <v>65163.5</v>
      </c>
      <c r="AA412" s="137">
        <f t="shared" si="75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6"/>
        <v>1277.7156862745105</v>
      </c>
      <c r="AD412" s="137">
        <f t="shared" si="80"/>
        <v>63878.303167151884</v>
      </c>
      <c r="AE412" s="138">
        <v>0.1077</v>
      </c>
      <c r="AF412" s="137">
        <f t="shared" si="71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595</v>
      </c>
      <c r="G413" s="119" t="s">
        <v>595</v>
      </c>
      <c r="H413" s="119" t="s">
        <v>595</v>
      </c>
      <c r="I413" s="163" t="s">
        <v>202</v>
      </c>
      <c r="J413" s="119" t="s">
        <v>572</v>
      </c>
      <c r="K413" s="119" t="s">
        <v>573</v>
      </c>
      <c r="L413" s="119" t="s">
        <v>402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3"/>
        <v>384.64</v>
      </c>
      <c r="U413" s="137">
        <f t="shared" si="77"/>
        <v>10000.64</v>
      </c>
      <c r="V413" s="137">
        <v>10000</v>
      </c>
      <c r="W413" s="137">
        <f t="shared" si="78"/>
        <v>0.63999999999941792</v>
      </c>
      <c r="X413" s="137">
        <f t="shared" si="74"/>
        <v>0.61538461538405564</v>
      </c>
      <c r="Y413" s="137">
        <f t="shared" si="79"/>
        <v>2.4615384615362279E-2</v>
      </c>
      <c r="Z413" s="137">
        <v>10000</v>
      </c>
      <c r="AA413" s="137">
        <f t="shared" si="75"/>
        <v>0</v>
      </c>
      <c r="AB413" s="146">
        <f>IF(O413="返货",Z413/(1+N413),IF(O413="返现",Z413,IF(O413="折扣",Z413*N413,IF(O413="无",Z413))))</f>
        <v>9615.3846153846152</v>
      </c>
      <c r="AC413" s="147">
        <f t="shared" si="76"/>
        <v>384.61538461538476</v>
      </c>
      <c r="AD413" s="137">
        <f t="shared" si="80"/>
        <v>9802.7735108077195</v>
      </c>
      <c r="AE413" s="138">
        <v>0.1077</v>
      </c>
      <c r="AF413" s="137">
        <f t="shared" si="71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508</v>
      </c>
      <c r="G414" s="119" t="s">
        <v>508</v>
      </c>
      <c r="H414" s="119" t="s">
        <v>508</v>
      </c>
      <c r="I414" s="163" t="s">
        <v>202</v>
      </c>
      <c r="J414" s="119" t="s">
        <v>572</v>
      </c>
      <c r="K414" s="119" t="s">
        <v>573</v>
      </c>
      <c r="L414" s="119" t="s">
        <v>508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3"/>
        <v>3514.2842000000001</v>
      </c>
      <c r="U414" s="137">
        <f t="shared" si="77"/>
        <v>179228.49419999999</v>
      </c>
      <c r="V414" s="137">
        <v>192520</v>
      </c>
      <c r="W414" s="137">
        <f t="shared" si="78"/>
        <v>-13291.505800000014</v>
      </c>
      <c r="X414" s="137">
        <f t="shared" si="74"/>
        <v>-13030.888039215699</v>
      </c>
      <c r="Y414" s="137">
        <f t="shared" si="79"/>
        <v>-260.61776078431467</v>
      </c>
      <c r="Z414" s="137">
        <v>220939.66</v>
      </c>
      <c r="AA414" s="137">
        <f t="shared" si="75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6"/>
        <v>45225.454117647081</v>
      </c>
      <c r="AD414" s="137">
        <f t="shared" si="80"/>
        <v>216582.14465348641</v>
      </c>
      <c r="AE414" s="138">
        <v>0.1077</v>
      </c>
      <c r="AF414" s="137">
        <f t="shared" si="71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hidden="1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596</v>
      </c>
      <c r="G415" s="119" t="s">
        <v>596</v>
      </c>
      <c r="H415" s="119" t="s">
        <v>596</v>
      </c>
      <c r="I415" s="163" t="s">
        <v>202</v>
      </c>
      <c r="J415" s="119" t="s">
        <v>572</v>
      </c>
      <c r="K415" s="119" t="s">
        <v>573</v>
      </c>
      <c r="L415" s="119" t="s">
        <v>596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3"/>
        <v>392.3922</v>
      </c>
      <c r="U415" s="137">
        <f t="shared" si="77"/>
        <v>20012.002199999999</v>
      </c>
      <c r="V415" s="137">
        <v>20400</v>
      </c>
      <c r="W415" s="137">
        <f t="shared" si="78"/>
        <v>-387.99780000000101</v>
      </c>
      <c r="X415" s="137">
        <f t="shared" si="74"/>
        <v>-380.39000000000095</v>
      </c>
      <c r="Y415" s="137">
        <f t="shared" si="79"/>
        <v>-7.6078000000000543</v>
      </c>
      <c r="Z415" s="137">
        <v>20012</v>
      </c>
      <c r="AA415" s="137">
        <f t="shared" si="75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6"/>
        <v>392.39215686274474</v>
      </c>
      <c r="AD415" s="137">
        <f t="shared" si="80"/>
        <v>19617.310349828407</v>
      </c>
      <c r="AE415" s="138">
        <v>0.1077</v>
      </c>
      <c r="AF415" s="137">
        <f t="shared" si="71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597</v>
      </c>
      <c r="G416" s="119" t="s">
        <v>597</v>
      </c>
      <c r="H416" s="119" t="s">
        <v>597</v>
      </c>
      <c r="I416" s="163" t="s">
        <v>202</v>
      </c>
      <c r="J416" s="119" t="s">
        <v>572</v>
      </c>
      <c r="K416" s="119" t="s">
        <v>573</v>
      </c>
      <c r="L416" s="119" t="s">
        <v>597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3"/>
        <v>952.94119999999998</v>
      </c>
      <c r="U416" s="137">
        <f t="shared" si="77"/>
        <v>48600.001199999999</v>
      </c>
      <c r="V416" s="137">
        <v>51000</v>
      </c>
      <c r="W416" s="137">
        <f t="shared" si="78"/>
        <v>-2399.9988000000012</v>
      </c>
      <c r="X416" s="137">
        <f t="shared" si="74"/>
        <v>-2352.940000000001</v>
      </c>
      <c r="Y416" s="137">
        <f t="shared" si="79"/>
        <v>-47.058800000000247</v>
      </c>
      <c r="Z416" s="137">
        <v>48600</v>
      </c>
      <c r="AA416" s="137">
        <f t="shared" si="75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6"/>
        <v>952.94117647058738</v>
      </c>
      <c r="AD416" s="137">
        <f t="shared" si="80"/>
        <v>47641.479262525514</v>
      </c>
      <c r="AE416" s="138">
        <v>0.1077</v>
      </c>
      <c r="AF416" s="137">
        <f t="shared" si="71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hidden="1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590</v>
      </c>
      <c r="G417" s="119" t="s">
        <v>590</v>
      </c>
      <c r="H417" s="119" t="s">
        <v>590</v>
      </c>
      <c r="I417" s="163" t="s">
        <v>202</v>
      </c>
      <c r="J417" s="119" t="s">
        <v>572</v>
      </c>
      <c r="K417" s="119" t="s">
        <v>573</v>
      </c>
      <c r="L417" s="119" t="s">
        <v>591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3"/>
        <v>2826.9227999999998</v>
      </c>
      <c r="U417" s="137">
        <f t="shared" si="77"/>
        <v>26384.612799999999</v>
      </c>
      <c r="V417" s="137">
        <v>0</v>
      </c>
      <c r="W417" s="137">
        <f t="shared" si="78"/>
        <v>26384.612799999999</v>
      </c>
      <c r="X417" s="137">
        <f t="shared" si="74"/>
        <v>23557.689999999995</v>
      </c>
      <c r="Y417" s="137">
        <f t="shared" si="79"/>
        <v>2826.9228000000039</v>
      </c>
      <c r="Z417" s="137">
        <v>24500</v>
      </c>
      <c r="AA417" s="137">
        <f t="shared" si="75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6"/>
        <v>2625.0000000000036</v>
      </c>
      <c r="AD417" s="137">
        <f t="shared" si="80"/>
        <v>24016.795101478914</v>
      </c>
      <c r="AE417" s="138">
        <v>0.31559999999999999</v>
      </c>
      <c r="AF417" s="137">
        <f t="shared" si="71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hidden="1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598</v>
      </c>
      <c r="G418" s="119" t="s">
        <v>599</v>
      </c>
      <c r="H418" s="119" t="s">
        <v>599</v>
      </c>
      <c r="I418" s="163" t="s">
        <v>202</v>
      </c>
      <c r="J418" s="119" t="s">
        <v>600</v>
      </c>
      <c r="K418" s="119" t="s">
        <v>601</v>
      </c>
      <c r="L418" s="119" t="s">
        <v>598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3"/>
        <v>0</v>
      </c>
      <c r="U418" s="137">
        <f t="shared" si="77"/>
        <v>150000</v>
      </c>
      <c r="V418" s="137">
        <v>150000</v>
      </c>
      <c r="W418" s="137">
        <f t="shared" si="78"/>
        <v>0</v>
      </c>
      <c r="X418" s="137">
        <f t="shared" si="74"/>
        <v>0</v>
      </c>
      <c r="Y418" s="137">
        <f t="shared" si="79"/>
        <v>0</v>
      </c>
      <c r="Z418" s="137">
        <v>264603.90000000002</v>
      </c>
      <c r="AA418" s="137">
        <f t="shared" si="75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6"/>
        <v>0</v>
      </c>
      <c r="AD418" s="137">
        <v>264603.90000000002</v>
      </c>
      <c r="AE418" s="138">
        <v>0</v>
      </c>
      <c r="AF418" s="137">
        <f t="shared" si="71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602</v>
      </c>
      <c r="AM418" s="131"/>
    </row>
    <row r="419" spans="1:39" s="119" customFormat="1" ht="15" hidden="1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603</v>
      </c>
      <c r="G419" s="119" t="s">
        <v>604</v>
      </c>
      <c r="H419" s="119" t="s">
        <v>604</v>
      </c>
      <c r="I419" s="163" t="s">
        <v>202</v>
      </c>
      <c r="J419" s="119" t="s">
        <v>572</v>
      </c>
      <c r="K419" s="119" t="s">
        <v>573</v>
      </c>
      <c r="L419" s="119" t="s">
        <v>409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3"/>
        <v>0</v>
      </c>
      <c r="U419" s="137">
        <f t="shared" si="77"/>
        <v>107320</v>
      </c>
      <c r="V419" s="137">
        <v>0</v>
      </c>
      <c r="W419" s="137">
        <f t="shared" si="78"/>
        <v>107320</v>
      </c>
      <c r="X419" s="137">
        <f t="shared" si="74"/>
        <v>107320</v>
      </c>
      <c r="Y419" s="137">
        <f t="shared" si="79"/>
        <v>0</v>
      </c>
      <c r="Z419" s="137">
        <v>197116.84</v>
      </c>
      <c r="AA419" s="137">
        <f t="shared" si="75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6"/>
        <v>89796.84</v>
      </c>
      <c r="AD419" s="137">
        <f t="shared" ref="AD419:AD436" si="81">Z419*0.980277351080772</f>
        <v>193229.17376861235</v>
      </c>
      <c r="AE419" s="138">
        <v>0.31559999999999999</v>
      </c>
      <c r="AF419" s="137">
        <f t="shared" si="71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hidden="1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603</v>
      </c>
      <c r="G420" s="119" t="s">
        <v>604</v>
      </c>
      <c r="H420" s="119" t="s">
        <v>604</v>
      </c>
      <c r="I420" s="163" t="s">
        <v>202</v>
      </c>
      <c r="J420" s="119" t="s">
        <v>572</v>
      </c>
      <c r="K420" s="119" t="s">
        <v>573</v>
      </c>
      <c r="L420" s="119" t="s">
        <v>409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3"/>
        <v>0</v>
      </c>
      <c r="U420" s="137">
        <f t="shared" si="77"/>
        <v>92680</v>
      </c>
      <c r="V420" s="137">
        <v>200000</v>
      </c>
      <c r="W420" s="137">
        <f t="shared" si="78"/>
        <v>-107320</v>
      </c>
      <c r="X420" s="137">
        <f t="shared" si="74"/>
        <v>-107320</v>
      </c>
      <c r="Y420" s="137">
        <f t="shared" si="79"/>
        <v>0</v>
      </c>
      <c r="Z420" s="137">
        <v>215052.69</v>
      </c>
      <c r="AA420" s="137">
        <f t="shared" si="75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6"/>
        <v>122372.685</v>
      </c>
      <c r="AD420" s="137">
        <f t="shared" si="81"/>
        <v>210811.28129599441</v>
      </c>
      <c r="AE420" s="138">
        <v>0.1077</v>
      </c>
      <c r="AF420" s="137">
        <f t="shared" si="71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hidden="1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605</v>
      </c>
      <c r="G421" s="119" t="s">
        <v>605</v>
      </c>
      <c r="H421" s="119" t="s">
        <v>605</v>
      </c>
      <c r="I421" s="163" t="s">
        <v>202</v>
      </c>
      <c r="J421" s="119" t="s">
        <v>572</v>
      </c>
      <c r="K421" s="119" t="s">
        <v>573</v>
      </c>
      <c r="L421" s="119" t="s">
        <v>605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3"/>
        <v>17.851199999999999</v>
      </c>
      <c r="U421" s="137">
        <f t="shared" si="77"/>
        <v>240.99119999999999</v>
      </c>
      <c r="V421" s="137">
        <v>0</v>
      </c>
      <c r="W421" s="137">
        <f t="shared" si="78"/>
        <v>240.99119999999999</v>
      </c>
      <c r="X421" s="137">
        <f t="shared" si="74"/>
        <v>223.14</v>
      </c>
      <c r="Y421" s="137">
        <f t="shared" si="79"/>
        <v>17.851200000000006</v>
      </c>
      <c r="Z421" s="137">
        <v>227.6</v>
      </c>
      <c r="AA421" s="137">
        <f t="shared" si="75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6"/>
        <v>16.859259259259261</v>
      </c>
      <c r="AD421" s="137">
        <f t="shared" si="81"/>
        <v>223.11112510598369</v>
      </c>
      <c r="AE421" s="138">
        <v>0.31559999999999999</v>
      </c>
      <c r="AF421" s="137">
        <f t="shared" si="71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hidden="1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605</v>
      </c>
      <c r="G422" s="119" t="s">
        <v>605</v>
      </c>
      <c r="H422" s="119" t="s">
        <v>605</v>
      </c>
      <c r="I422" s="163" t="s">
        <v>202</v>
      </c>
      <c r="J422" s="119" t="s">
        <v>572</v>
      </c>
      <c r="K422" s="119" t="s">
        <v>573</v>
      </c>
      <c r="L422" s="119" t="s">
        <v>605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3"/>
        <v>195.53720000000001</v>
      </c>
      <c r="U422" s="137">
        <f t="shared" si="77"/>
        <v>9972.3972000000012</v>
      </c>
      <c r="V422" s="137">
        <v>10200</v>
      </c>
      <c r="W422" s="137">
        <f t="shared" si="78"/>
        <v>-227.60279999999875</v>
      </c>
      <c r="X422" s="137">
        <f t="shared" si="74"/>
        <v>-223.13999999999876</v>
      </c>
      <c r="Y422" s="137">
        <f t="shared" si="79"/>
        <v>-4.4627999999999872</v>
      </c>
      <c r="Z422" s="137">
        <v>9972.4</v>
      </c>
      <c r="AA422" s="137">
        <f t="shared" si="75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6"/>
        <v>195.53725490196121</v>
      </c>
      <c r="AD422" s="137">
        <f t="shared" si="81"/>
        <v>9775.7178559178901</v>
      </c>
      <c r="AE422" s="138">
        <v>0.1077</v>
      </c>
      <c r="AF422" s="137">
        <f t="shared" si="71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508</v>
      </c>
      <c r="G423" s="119" t="s">
        <v>508</v>
      </c>
      <c r="H423" s="119" t="s">
        <v>508</v>
      </c>
      <c r="I423" s="163" t="s">
        <v>202</v>
      </c>
      <c r="J423" s="119" t="s">
        <v>572</v>
      </c>
      <c r="K423" s="119" t="s">
        <v>573</v>
      </c>
      <c r="L423" s="119" t="s">
        <v>508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3"/>
        <v>419.76400000000001</v>
      </c>
      <c r="U423" s="137">
        <f t="shared" si="77"/>
        <v>5666.8140000000003</v>
      </c>
      <c r="V423" s="137">
        <v>0</v>
      </c>
      <c r="W423" s="137">
        <f t="shared" si="78"/>
        <v>5666.8140000000003</v>
      </c>
      <c r="X423" s="137">
        <f t="shared" si="74"/>
        <v>5247.05</v>
      </c>
      <c r="Y423" s="137">
        <f t="shared" si="79"/>
        <v>419.76400000000012</v>
      </c>
      <c r="Z423" s="137">
        <v>5351.99</v>
      </c>
      <c r="AA423" s="137">
        <f t="shared" si="75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6"/>
        <v>396.44370370370416</v>
      </c>
      <c r="AD423" s="137">
        <f t="shared" si="81"/>
        <v>5246.434580210781</v>
      </c>
      <c r="AE423" s="138">
        <v>0.31559999999999999</v>
      </c>
      <c r="AF423" s="137">
        <f t="shared" si="71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hidden="1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589</v>
      </c>
      <c r="G424" s="119" t="s">
        <v>589</v>
      </c>
      <c r="H424" s="119" t="s">
        <v>589</v>
      </c>
      <c r="I424" s="163" t="s">
        <v>202</v>
      </c>
      <c r="J424" s="119" t="s">
        <v>572</v>
      </c>
      <c r="K424" s="119" t="s">
        <v>573</v>
      </c>
      <c r="L424" s="119" t="s">
        <v>589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3"/>
        <v>408.8152</v>
      </c>
      <c r="U424" s="137">
        <f t="shared" si="77"/>
        <v>5519.0051999999996</v>
      </c>
      <c r="V424" s="137">
        <v>0</v>
      </c>
      <c r="W424" s="137">
        <f t="shared" si="78"/>
        <v>5519.0051999999996</v>
      </c>
      <c r="X424" s="137">
        <f t="shared" si="74"/>
        <v>5110.1899999999996</v>
      </c>
      <c r="Y424" s="137">
        <f t="shared" si="79"/>
        <v>408.8152</v>
      </c>
      <c r="Z424" s="137">
        <v>5212.3900000000003</v>
      </c>
      <c r="AA424" s="137">
        <f t="shared" si="75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6"/>
        <v>386.10296296296292</v>
      </c>
      <c r="AD424" s="137">
        <f t="shared" si="81"/>
        <v>5109.5878619999057</v>
      </c>
      <c r="AE424" s="138">
        <v>0.31559999999999999</v>
      </c>
      <c r="AF424" s="137">
        <f t="shared" si="71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hidden="1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606</v>
      </c>
      <c r="G425" s="119" t="s">
        <v>606</v>
      </c>
      <c r="H425" s="119" t="s">
        <v>606</v>
      </c>
      <c r="I425" s="163" t="s">
        <v>202</v>
      </c>
      <c r="J425" s="119" t="s">
        <v>572</v>
      </c>
      <c r="K425" s="119" t="s">
        <v>573</v>
      </c>
      <c r="L425" s="119" t="s">
        <v>607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3"/>
        <v>36605.318800000001</v>
      </c>
      <c r="U425" s="137">
        <f t="shared" si="77"/>
        <v>1866871.2588</v>
      </c>
      <c r="V425" s="137">
        <v>20887000</v>
      </c>
      <c r="W425" s="137">
        <f t="shared" si="78"/>
        <v>-19020128.7412</v>
      </c>
      <c r="X425" s="137">
        <f t="shared" si="74"/>
        <v>-18647185.040392157</v>
      </c>
      <c r="Y425" s="137">
        <f t="shared" si="79"/>
        <v>-372943.70080784336</v>
      </c>
      <c r="Z425" s="137">
        <v>2058342.2</v>
      </c>
      <c r="AA425" s="137">
        <f t="shared" si="75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6"/>
        <v>121227.66369607835</v>
      </c>
      <c r="AD425" s="137">
        <f t="shared" si="81"/>
        <v>2017746.2394337684</v>
      </c>
      <c r="AE425" s="138">
        <v>0.1077</v>
      </c>
      <c r="AF425" s="137">
        <f t="shared" si="71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608</v>
      </c>
      <c r="AM425" s="131"/>
    </row>
    <row r="426" spans="1:39" s="119" customFormat="1" ht="15" hidden="1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606</v>
      </c>
      <c r="G426" s="119" t="s">
        <v>606</v>
      </c>
      <c r="H426" s="119" t="s">
        <v>606</v>
      </c>
      <c r="I426" s="163" t="s">
        <v>202</v>
      </c>
      <c r="J426" s="119" t="s">
        <v>572</v>
      </c>
      <c r="K426" s="119" t="s">
        <v>573</v>
      </c>
      <c r="L426" s="119" t="s">
        <v>607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3"/>
        <v>1435671.2104</v>
      </c>
      <c r="U426" s="137">
        <f t="shared" si="77"/>
        <v>19381561.340399999</v>
      </c>
      <c r="V426" s="137">
        <v>0</v>
      </c>
      <c r="W426" s="137">
        <f t="shared" si="78"/>
        <v>19381561.340399999</v>
      </c>
      <c r="X426" s="137">
        <f t="shared" si="74"/>
        <v>17945890.129999999</v>
      </c>
      <c r="Y426" s="137">
        <f t="shared" si="79"/>
        <v>1435671.2104000002</v>
      </c>
      <c r="Z426" s="137">
        <v>19012642.280000001</v>
      </c>
      <c r="AA426" s="137">
        <f t="shared" si="75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6"/>
        <v>1555787.5022222251</v>
      </c>
      <c r="AD426" s="137">
        <f t="shared" si="81"/>
        <v>18637662.611284688</v>
      </c>
      <c r="AE426" s="138">
        <v>0.31559999999999999</v>
      </c>
      <c r="AF426" s="137">
        <f t="shared" si="71"/>
        <v>5882046.3201214476</v>
      </c>
      <c r="AG426" s="137">
        <v>4592046.0309754098</v>
      </c>
      <c r="AH426" s="154"/>
      <c r="AI426" s="154"/>
      <c r="AJ426" s="135" t="s">
        <v>609</v>
      </c>
      <c r="AK426" s="119" t="s">
        <v>609</v>
      </c>
      <c r="AM426" s="131"/>
    </row>
    <row r="427" spans="1:39" s="119" customFormat="1" ht="15" hidden="1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596</v>
      </c>
      <c r="G427" s="119" t="s">
        <v>596</v>
      </c>
      <c r="H427" s="119" t="s">
        <v>596</v>
      </c>
      <c r="I427" s="163" t="s">
        <v>202</v>
      </c>
      <c r="J427" s="119" t="s">
        <v>572</v>
      </c>
      <c r="K427" s="119" t="s">
        <v>573</v>
      </c>
      <c r="L427" s="119" t="s">
        <v>596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3"/>
        <v>30.4312</v>
      </c>
      <c r="U427" s="137">
        <f t="shared" si="77"/>
        <v>410.82119999999998</v>
      </c>
      <c r="V427" s="137">
        <v>0</v>
      </c>
      <c r="W427" s="137">
        <f t="shared" si="78"/>
        <v>410.82119999999998</v>
      </c>
      <c r="X427" s="137">
        <f t="shared" si="74"/>
        <v>380.38999999999993</v>
      </c>
      <c r="Y427" s="137">
        <f t="shared" si="79"/>
        <v>30.431200000000047</v>
      </c>
      <c r="Z427" s="137">
        <v>388</v>
      </c>
      <c r="AA427" s="137">
        <f t="shared" si="75"/>
        <v>-388</v>
      </c>
      <c r="AB427" s="146">
        <f t="shared" ref="AB427:AB432" si="82">IF(O427="返货",Z427/(1+N427),IF(O427="返现",Z427,IF(O427="折扣",Z427*N427,IF(O427="无",Z427))))</f>
        <v>359.25925925925924</v>
      </c>
      <c r="AC427" s="147">
        <f t="shared" si="76"/>
        <v>28.740740740740762</v>
      </c>
      <c r="AD427" s="137">
        <f t="shared" si="81"/>
        <v>380.34761221933951</v>
      </c>
      <c r="AE427" s="138">
        <v>0.31559999999999999</v>
      </c>
      <c r="AF427" s="137">
        <f t="shared" si="71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hidden="1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597</v>
      </c>
      <c r="G428" s="119" t="s">
        <v>597</v>
      </c>
      <c r="H428" s="119" t="s">
        <v>597</v>
      </c>
      <c r="I428" s="163" t="s">
        <v>202</v>
      </c>
      <c r="J428" s="119" t="s">
        <v>572</v>
      </c>
      <c r="K428" s="119" t="s">
        <v>573</v>
      </c>
      <c r="L428" s="119" t="s">
        <v>597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3"/>
        <v>188.23520000000002</v>
      </c>
      <c r="U428" s="137">
        <f t="shared" si="77"/>
        <v>2541.1752000000001</v>
      </c>
      <c r="V428" s="137">
        <v>0</v>
      </c>
      <c r="W428" s="137">
        <f t="shared" si="78"/>
        <v>2541.1752000000001</v>
      </c>
      <c r="X428" s="137">
        <f t="shared" si="74"/>
        <v>2352.94</v>
      </c>
      <c r="Y428" s="137">
        <f t="shared" si="79"/>
        <v>188.23520000000008</v>
      </c>
      <c r="Z428" s="137">
        <v>2400</v>
      </c>
      <c r="AA428" s="137">
        <f t="shared" si="75"/>
        <v>-2400</v>
      </c>
      <c r="AB428" s="146">
        <f t="shared" si="82"/>
        <v>2222.2222222222222</v>
      </c>
      <c r="AC428" s="147">
        <f t="shared" si="76"/>
        <v>177.77777777777783</v>
      </c>
      <c r="AD428" s="137">
        <f t="shared" si="81"/>
        <v>2352.6656425938527</v>
      </c>
      <c r="AE428" s="138">
        <v>0.31559999999999999</v>
      </c>
      <c r="AF428" s="137">
        <f t="shared" si="71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hidden="1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572</v>
      </c>
      <c r="K429" s="119" t="s">
        <v>573</v>
      </c>
      <c r="L429" s="119" t="s">
        <v>207</v>
      </c>
      <c r="M429" s="119" t="s">
        <v>183</v>
      </c>
      <c r="N429" s="136">
        <v>0.02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3"/>
        <v>3019.2554</v>
      </c>
      <c r="U429" s="137">
        <f t="shared" si="77"/>
        <v>153982.02539999998</v>
      </c>
      <c r="V429" s="137">
        <v>0</v>
      </c>
      <c r="W429" s="137">
        <f t="shared" si="78"/>
        <v>153982.02539999998</v>
      </c>
      <c r="X429" s="137">
        <f t="shared" si="74"/>
        <v>150962.76999999999</v>
      </c>
      <c r="Y429" s="137">
        <f t="shared" si="79"/>
        <v>3019.2553999999946</v>
      </c>
      <c r="Z429" s="137">
        <v>153982.03</v>
      </c>
      <c r="AA429" s="137">
        <f t="shared" si="75"/>
        <v>-153982.03</v>
      </c>
      <c r="AB429" s="146">
        <f t="shared" si="82"/>
        <v>150962.77450980392</v>
      </c>
      <c r="AC429" s="147">
        <f t="shared" si="76"/>
        <v>3019.255490196083</v>
      </c>
      <c r="AD429" s="137">
        <f t="shared" si="81"/>
        <v>150945.09648243996</v>
      </c>
      <c r="AE429" s="138">
        <v>0.31559999999999999</v>
      </c>
      <c r="AF429" s="137">
        <f t="shared" si="71"/>
        <v>47638.27244985805</v>
      </c>
      <c r="AG429" s="137">
        <v>45577.473177803899</v>
      </c>
      <c r="AH429" s="154"/>
      <c r="AI429" s="154"/>
      <c r="AJ429" s="135" t="s">
        <v>610</v>
      </c>
      <c r="AK429" s="119" t="s">
        <v>610</v>
      </c>
      <c r="AM429" s="131"/>
    </row>
    <row r="430" spans="1:39" s="119" customFormat="1" ht="15" hidden="1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572</v>
      </c>
      <c r="K430" s="119" t="s">
        <v>573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3"/>
        <v>97.647000000000205</v>
      </c>
      <c r="U430" s="137">
        <f t="shared" si="77"/>
        <v>4979.9970000000103</v>
      </c>
      <c r="V430" s="137">
        <v>224400</v>
      </c>
      <c r="W430" s="137">
        <f t="shared" si="78"/>
        <v>-219420.003</v>
      </c>
      <c r="X430" s="137">
        <f t="shared" si="74"/>
        <v>-215117.65</v>
      </c>
      <c r="Y430" s="137">
        <f t="shared" si="79"/>
        <v>-4302.3530000000028</v>
      </c>
      <c r="Z430" s="137">
        <v>4980</v>
      </c>
      <c r="AA430" s="137">
        <f t="shared" si="75"/>
        <v>219420</v>
      </c>
      <c r="AB430" s="146">
        <f t="shared" si="82"/>
        <v>4882.3529411764703</v>
      </c>
      <c r="AC430" s="147">
        <f t="shared" si="76"/>
        <v>97.647058823529733</v>
      </c>
      <c r="AD430" s="137">
        <f t="shared" si="81"/>
        <v>4881.7812083822446</v>
      </c>
      <c r="AE430" s="138">
        <v>0.1077</v>
      </c>
      <c r="AF430" s="137">
        <f t="shared" si="71"/>
        <v>525.76783614276781</v>
      </c>
      <c r="AG430" s="137">
        <v>438.69894117646999</v>
      </c>
      <c r="AH430" s="154"/>
      <c r="AI430" s="154"/>
      <c r="AJ430" s="135" t="s">
        <v>610</v>
      </c>
      <c r="AK430" s="119" t="s">
        <v>610</v>
      </c>
      <c r="AM430" s="131"/>
    </row>
    <row r="431" spans="1:39" s="119" customFormat="1" ht="15" hidden="1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572</v>
      </c>
      <c r="K431" s="119" t="s">
        <v>573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3"/>
        <v>5908.8392000000003</v>
      </c>
      <c r="U431" s="137">
        <f t="shared" si="77"/>
        <v>79769.329200000007</v>
      </c>
      <c r="V431" s="137">
        <v>0</v>
      </c>
      <c r="W431" s="137">
        <f t="shared" si="78"/>
        <v>79769.329200000007</v>
      </c>
      <c r="X431" s="137">
        <f t="shared" si="74"/>
        <v>73860.490000000005</v>
      </c>
      <c r="Y431" s="137">
        <f t="shared" si="79"/>
        <v>5908.8392000000022</v>
      </c>
      <c r="Z431" s="137">
        <v>73860.490000000005</v>
      </c>
      <c r="AA431" s="137">
        <f t="shared" si="75"/>
        <v>-73860.490000000005</v>
      </c>
      <c r="AB431" s="146">
        <f t="shared" si="82"/>
        <v>68389.342592592599</v>
      </c>
      <c r="AC431" s="147">
        <f t="shared" si="76"/>
        <v>5471.1474074074067</v>
      </c>
      <c r="AD431" s="137">
        <f t="shared" si="81"/>
        <v>72403.765486727847</v>
      </c>
      <c r="AE431" s="138">
        <v>0.31559999999999999</v>
      </c>
      <c r="AF431" s="137">
        <f t="shared" ref="AF431:AF494" si="83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hidden="1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572</v>
      </c>
      <c r="K432" s="119" t="s">
        <v>573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3"/>
        <v>5922.7902000000004</v>
      </c>
      <c r="U432" s="137">
        <f t="shared" si="77"/>
        <v>302062.3002</v>
      </c>
      <c r="V432" s="137">
        <v>374582.34</v>
      </c>
      <c r="W432" s="137">
        <f t="shared" si="78"/>
        <v>-72520.039800000028</v>
      </c>
      <c r="X432" s="137">
        <f t="shared" si="74"/>
        <v>-71098.078235294146</v>
      </c>
      <c r="Y432" s="137">
        <f t="shared" si="79"/>
        <v>-1421.9615647058818</v>
      </c>
      <c r="Z432" s="137">
        <v>300721.84999999998</v>
      </c>
      <c r="AA432" s="137">
        <f t="shared" si="75"/>
        <v>73860.490000000049</v>
      </c>
      <c r="AB432" s="146">
        <f t="shared" si="82"/>
        <v>294825.34313725488</v>
      </c>
      <c r="AC432" s="147">
        <f t="shared" si="76"/>
        <v>5896.5068627450964</v>
      </c>
      <c r="AD432" s="137">
        <f t="shared" si="81"/>
        <v>294790.81853010925</v>
      </c>
      <c r="AE432" s="138">
        <v>0.1077</v>
      </c>
      <c r="AF432" s="137">
        <f t="shared" si="83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572</v>
      </c>
      <c r="K433" s="119" t="s">
        <v>573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3"/>
        <v>4749.7290000000003</v>
      </c>
      <c r="U433" s="137">
        <f t="shared" si="77"/>
        <v>242236.179</v>
      </c>
      <c r="V433" s="137">
        <v>295952.08</v>
      </c>
      <c r="W433" s="137">
        <f t="shared" si="78"/>
        <v>-53715.901000000013</v>
      </c>
      <c r="X433" s="137">
        <f t="shared" si="74"/>
        <v>-52662.648039215695</v>
      </c>
      <c r="Y433" s="137">
        <f t="shared" si="79"/>
        <v>-1053.2529607843171</v>
      </c>
      <c r="Z433" s="137">
        <v>242788.01</v>
      </c>
      <c r="AA433" s="137">
        <f t="shared" si="75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6"/>
        <v>5301.559019607841</v>
      </c>
      <c r="AD433" s="137">
        <f t="shared" si="81"/>
        <v>237999.58731697197</v>
      </c>
      <c r="AE433" s="138">
        <v>0.1077</v>
      </c>
      <c r="AF433" s="137">
        <f t="shared" si="83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hidden="1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572</v>
      </c>
      <c r="K434" s="119" t="s">
        <v>573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3"/>
        <v>2106.5060000000003</v>
      </c>
      <c r="U434" s="137">
        <f t="shared" si="77"/>
        <v>54769.156000000003</v>
      </c>
      <c r="V434" s="137">
        <v>0</v>
      </c>
      <c r="W434" s="137">
        <f t="shared" si="78"/>
        <v>54769.156000000003</v>
      </c>
      <c r="X434" s="137">
        <f t="shared" si="74"/>
        <v>52662.65</v>
      </c>
      <c r="Y434" s="137">
        <f t="shared" si="79"/>
        <v>2106.5060000000012</v>
      </c>
      <c r="Z434" s="137">
        <v>60335.32</v>
      </c>
      <c r="AA434" s="137">
        <f t="shared" si="75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6"/>
        <v>8685.4161538461558</v>
      </c>
      <c r="AD434" s="137">
        <f t="shared" si="81"/>
        <v>59145.34766621072</v>
      </c>
      <c r="AE434" s="138">
        <v>0.31559999999999999</v>
      </c>
      <c r="AF434" s="137">
        <f t="shared" si="83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hidden="1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611</v>
      </c>
      <c r="G435" s="119" t="s">
        <v>612</v>
      </c>
      <c r="H435" s="119" t="s">
        <v>612</v>
      </c>
      <c r="I435" s="163" t="s">
        <v>202</v>
      </c>
      <c r="J435" s="119" t="s">
        <v>572</v>
      </c>
      <c r="K435" s="119" t="s">
        <v>573</v>
      </c>
      <c r="L435" s="119" t="s">
        <v>611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3"/>
        <v>18306.688000000002</v>
      </c>
      <c r="U435" s="137">
        <f t="shared" si="77"/>
        <v>201373.568</v>
      </c>
      <c r="V435" s="137">
        <v>0</v>
      </c>
      <c r="W435" s="137">
        <f t="shared" si="78"/>
        <v>201373.568</v>
      </c>
      <c r="X435" s="137">
        <f t="shared" si="74"/>
        <v>183066.87999999998</v>
      </c>
      <c r="Y435" s="137">
        <f t="shared" si="79"/>
        <v>18306.688000000024</v>
      </c>
      <c r="Z435" s="137">
        <v>194283.15</v>
      </c>
      <c r="AA435" s="137">
        <f t="shared" si="75"/>
        <v>-194283.15</v>
      </c>
      <c r="AB435" s="146">
        <f t="shared" ref="AB435:AB449" si="84">IF(O435="返货",Z435/(1+N435),IF(O435="返现",Z435,IF(O435="折扣",Z435*N435,IF(O435="无",Z435))))</f>
        <v>176621.04545454544</v>
      </c>
      <c r="AC435" s="147">
        <f t="shared" si="76"/>
        <v>17662.104545454553</v>
      </c>
      <c r="AD435" s="137">
        <f t="shared" si="81"/>
        <v>190451.37164162827</v>
      </c>
      <c r="AE435" s="138">
        <v>0.31559999999999999</v>
      </c>
      <c r="AF435" s="137">
        <f t="shared" si="83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hidden="1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611</v>
      </c>
      <c r="G436" s="119" t="s">
        <v>612</v>
      </c>
      <c r="H436" s="119" t="s">
        <v>612</v>
      </c>
      <c r="I436" s="163" t="s">
        <v>202</v>
      </c>
      <c r="J436" s="119" t="s">
        <v>572</v>
      </c>
      <c r="K436" s="119" t="s">
        <v>573</v>
      </c>
      <c r="L436" s="119" t="s">
        <v>611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3"/>
        <v>11017.336499999999</v>
      </c>
      <c r="U436" s="137">
        <f t="shared" si="77"/>
        <v>378261.88649999996</v>
      </c>
      <c r="V436" s="137">
        <v>769500</v>
      </c>
      <c r="W436" s="137">
        <f t="shared" si="78"/>
        <v>-391238.11350000004</v>
      </c>
      <c r="X436" s="137">
        <f t="shared" si="74"/>
        <v>-379842.82864077674</v>
      </c>
      <c r="Y436" s="137">
        <f t="shared" si="79"/>
        <v>-11395.284859223291</v>
      </c>
      <c r="Z436" s="137">
        <v>378280.07</v>
      </c>
      <c r="AA436" s="137">
        <f t="shared" si="75"/>
        <v>391219.93</v>
      </c>
      <c r="AB436" s="146">
        <f t="shared" si="84"/>
        <v>367262.20388349512</v>
      </c>
      <c r="AC436" s="147">
        <f t="shared" si="76"/>
        <v>11017.866116504883</v>
      </c>
      <c r="AD436" s="137">
        <f t="shared" si="81"/>
        <v>370819.38498624897</v>
      </c>
      <c r="AE436" s="138">
        <v>0.1077</v>
      </c>
      <c r="AF436" s="137">
        <f t="shared" si="83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hidden="1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613</v>
      </c>
      <c r="G437" s="119" t="s">
        <v>614</v>
      </c>
      <c r="H437" s="119" t="s">
        <v>614</v>
      </c>
      <c r="I437" s="163" t="s">
        <v>202</v>
      </c>
      <c r="J437" s="119" t="s">
        <v>600</v>
      </c>
      <c r="K437" s="119" t="s">
        <v>615</v>
      </c>
      <c r="L437" s="119" t="s">
        <v>613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3"/>
        <v>607.92740000000003</v>
      </c>
      <c r="U437" s="137">
        <f t="shared" si="77"/>
        <v>31004.297399999999</v>
      </c>
      <c r="V437" s="137">
        <v>40600</v>
      </c>
      <c r="W437" s="137">
        <f t="shared" si="78"/>
        <v>-9595.7026000000005</v>
      </c>
      <c r="X437" s="137">
        <f t="shared" si="74"/>
        <v>-9407.5515686274521</v>
      </c>
      <c r="Y437" s="137">
        <f t="shared" si="79"/>
        <v>-188.15103137254846</v>
      </c>
      <c r="Z437" s="137">
        <v>31004.3</v>
      </c>
      <c r="AA437" s="137">
        <f t="shared" si="75"/>
        <v>9595.7000000000007</v>
      </c>
      <c r="AB437" s="146">
        <f t="shared" si="84"/>
        <v>30396.372549019608</v>
      </c>
      <c r="AC437" s="147">
        <f t="shared" si="76"/>
        <v>607.92745098039086</v>
      </c>
      <c r="AD437" s="137">
        <v>31004.3</v>
      </c>
      <c r="AE437" s="138">
        <v>7.0000000000000007E-2</v>
      </c>
      <c r="AF437" s="137">
        <f t="shared" si="83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hidden="1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616</v>
      </c>
      <c r="G438" s="119" t="s">
        <v>617</v>
      </c>
      <c r="H438" s="119" t="s">
        <v>617</v>
      </c>
      <c r="I438" s="163" t="s">
        <v>202</v>
      </c>
      <c r="J438" s="119" t="s">
        <v>600</v>
      </c>
      <c r="K438" s="119" t="s">
        <v>615</v>
      </c>
      <c r="L438" s="119" t="s">
        <v>616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3"/>
        <v>562.68040000000008</v>
      </c>
      <c r="U438" s="137">
        <f t="shared" si="77"/>
        <v>28696.700400000002</v>
      </c>
      <c r="V438" s="137">
        <v>0</v>
      </c>
      <c r="W438" s="137">
        <f t="shared" si="78"/>
        <v>28696.700400000002</v>
      </c>
      <c r="X438" s="137">
        <f t="shared" si="74"/>
        <v>28134.02</v>
      </c>
      <c r="Y438" s="137">
        <f t="shared" si="79"/>
        <v>562.6804000000011</v>
      </c>
      <c r="Z438" s="137">
        <v>18198.2</v>
      </c>
      <c r="AA438" s="137">
        <f t="shared" si="75"/>
        <v>-18198.2</v>
      </c>
      <c r="AB438" s="146">
        <f t="shared" si="84"/>
        <v>17841.372549019608</v>
      </c>
      <c r="AC438" s="147">
        <f t="shared" si="76"/>
        <v>356.82745098039231</v>
      </c>
      <c r="AD438" s="137">
        <v>18198.2</v>
      </c>
      <c r="AE438" s="138">
        <v>7.0000000000000007E-2</v>
      </c>
      <c r="AF438" s="137">
        <f t="shared" si="83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hidden="1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616</v>
      </c>
      <c r="G439" s="119" t="s">
        <v>617</v>
      </c>
      <c r="H439" s="119" t="s">
        <v>617</v>
      </c>
      <c r="I439" s="163" t="s">
        <v>202</v>
      </c>
      <c r="J439" s="119" t="s">
        <v>600</v>
      </c>
      <c r="K439" s="119" t="s">
        <v>615</v>
      </c>
      <c r="L439" s="119" t="s">
        <v>616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3"/>
        <v>1093.299</v>
      </c>
      <c r="U439" s="137">
        <f t="shared" si="77"/>
        <v>22959.278999999999</v>
      </c>
      <c r="V439" s="137">
        <v>0</v>
      </c>
      <c r="W439" s="137">
        <f t="shared" si="78"/>
        <v>22959.278999999999</v>
      </c>
      <c r="X439" s="137">
        <f t="shared" si="74"/>
        <v>21865.98</v>
      </c>
      <c r="Y439" s="137">
        <f t="shared" si="79"/>
        <v>1093.2989999999991</v>
      </c>
      <c r="Z439" s="137">
        <v>22303.3</v>
      </c>
      <c r="AA439" s="137">
        <f t="shared" si="75"/>
        <v>-22303.3</v>
      </c>
      <c r="AB439" s="146">
        <f t="shared" si="84"/>
        <v>21241.238095238095</v>
      </c>
      <c r="AC439" s="147">
        <f t="shared" si="76"/>
        <v>1062.0619047619039</v>
      </c>
      <c r="AD439" s="137">
        <v>22303.3</v>
      </c>
      <c r="AE439" s="138">
        <v>0.2</v>
      </c>
      <c r="AF439" s="137">
        <f t="shared" si="83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hidden="1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616</v>
      </c>
      <c r="G440" s="119" t="s">
        <v>617</v>
      </c>
      <c r="H440" s="119" t="s">
        <v>617</v>
      </c>
      <c r="I440" s="163" t="s">
        <v>202</v>
      </c>
      <c r="J440" s="119" t="s">
        <v>203</v>
      </c>
      <c r="K440" s="119" t="s">
        <v>204</v>
      </c>
      <c r="L440" s="119" t="s">
        <v>616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3"/>
        <v>3000</v>
      </c>
      <c r="U440" s="137">
        <f t="shared" si="77"/>
        <v>153000</v>
      </c>
      <c r="V440" s="137">
        <v>153000</v>
      </c>
      <c r="W440" s="137">
        <f t="shared" si="78"/>
        <v>0</v>
      </c>
      <c r="X440" s="137">
        <f t="shared" si="74"/>
        <v>0</v>
      </c>
      <c r="Y440" s="137">
        <f t="shared" si="79"/>
        <v>0</v>
      </c>
      <c r="Z440" s="137">
        <v>112498.5</v>
      </c>
      <c r="AA440" s="137">
        <f t="shared" si="75"/>
        <v>40501.5</v>
      </c>
      <c r="AB440" s="146">
        <f t="shared" si="84"/>
        <v>110292.64705882352</v>
      </c>
      <c r="AC440" s="147">
        <f t="shared" si="76"/>
        <v>2205.8529411764757</v>
      </c>
      <c r="AD440" s="137">
        <v>112498.5</v>
      </c>
      <c r="AE440" s="138">
        <v>7.0000000000000007E-2</v>
      </c>
      <c r="AF440" s="137">
        <f t="shared" si="83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hidden="1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618</v>
      </c>
      <c r="G441" s="119" t="s">
        <v>619</v>
      </c>
      <c r="H441" s="119" t="s">
        <v>619</v>
      </c>
      <c r="I441" s="163" t="s">
        <v>202</v>
      </c>
      <c r="J441" s="119" t="s">
        <v>572</v>
      </c>
      <c r="K441" s="119" t="s">
        <v>573</v>
      </c>
      <c r="L441" s="119" t="s">
        <v>618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3"/>
        <v>576.07060000000001</v>
      </c>
      <c r="U441" s="137">
        <f t="shared" si="77"/>
        <v>29379.600599999998</v>
      </c>
      <c r="V441" s="137">
        <v>30600</v>
      </c>
      <c r="W441" s="137">
        <f t="shared" si="78"/>
        <v>-1220.3994000000021</v>
      </c>
      <c r="X441" s="137">
        <f t="shared" si="74"/>
        <v>-1196.4700000000021</v>
      </c>
      <c r="Y441" s="137">
        <f t="shared" si="79"/>
        <v>-23.929399999999987</v>
      </c>
      <c r="Z441" s="137">
        <v>29379.599999999999</v>
      </c>
      <c r="AA441" s="137">
        <f t="shared" si="75"/>
        <v>1220.4000000000015</v>
      </c>
      <c r="AB441" s="146">
        <f t="shared" si="84"/>
        <v>28803.529411764703</v>
      </c>
      <c r="AC441" s="147">
        <f t="shared" si="76"/>
        <v>576.07058823529587</v>
      </c>
      <c r="AD441" s="137">
        <f>Z441*0.980277351080772</f>
        <v>28800.156463812647</v>
      </c>
      <c r="AE441" s="138">
        <v>0.1077</v>
      </c>
      <c r="AF441" s="137">
        <f t="shared" si="83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hidden="1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618</v>
      </c>
      <c r="G442" s="119" t="s">
        <v>619</v>
      </c>
      <c r="H442" s="119" t="s">
        <v>619</v>
      </c>
      <c r="I442" s="163" t="s">
        <v>202</v>
      </c>
      <c r="J442" s="119" t="s">
        <v>572</v>
      </c>
      <c r="K442" s="119" t="s">
        <v>573</v>
      </c>
      <c r="L442" s="119" t="s">
        <v>618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3"/>
        <v>95.717600000000004</v>
      </c>
      <c r="U442" s="137">
        <f t="shared" si="77"/>
        <v>1292.1876</v>
      </c>
      <c r="V442" s="137">
        <v>0</v>
      </c>
      <c r="W442" s="137">
        <f t="shared" si="78"/>
        <v>1292.1876</v>
      </c>
      <c r="X442" s="137">
        <f t="shared" si="74"/>
        <v>1196.4699999999998</v>
      </c>
      <c r="Y442" s="137">
        <f t="shared" si="79"/>
        <v>95.717600000000175</v>
      </c>
      <c r="Z442" s="137">
        <v>1220.4000000000001</v>
      </c>
      <c r="AA442" s="137">
        <f t="shared" si="75"/>
        <v>-1220.4000000000001</v>
      </c>
      <c r="AB442" s="146">
        <f t="shared" si="84"/>
        <v>1130</v>
      </c>
      <c r="AC442" s="147">
        <f t="shared" si="76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3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hidden="1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620</v>
      </c>
      <c r="G443" s="119" t="s">
        <v>620</v>
      </c>
      <c r="H443" s="119" t="s">
        <v>620</v>
      </c>
      <c r="I443" s="163" t="s">
        <v>202</v>
      </c>
      <c r="J443" s="119" t="s">
        <v>621</v>
      </c>
      <c r="K443" s="119" t="s">
        <v>622</v>
      </c>
      <c r="L443" s="119" t="s">
        <v>620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3"/>
        <v>1570.5882000000001</v>
      </c>
      <c r="U443" s="137">
        <f t="shared" si="77"/>
        <v>80099.998200000002</v>
      </c>
      <c r="V443" s="137">
        <v>132600</v>
      </c>
      <c r="W443" s="137">
        <f t="shared" si="78"/>
        <v>-52500.001799999998</v>
      </c>
      <c r="X443" s="137">
        <f t="shared" si="74"/>
        <v>-51470.59</v>
      </c>
      <c r="Y443" s="137">
        <f t="shared" si="79"/>
        <v>-1029.4118000000017</v>
      </c>
      <c r="Z443" s="137">
        <v>131100</v>
      </c>
      <c r="AA443" s="137">
        <f t="shared" si="75"/>
        <v>1500</v>
      </c>
      <c r="AB443" s="146">
        <f t="shared" si="84"/>
        <v>128529.41176470587</v>
      </c>
      <c r="AC443" s="147">
        <f t="shared" si="76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3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hidden="1" customHeight="1" x14ac:dyDescent="0.3">
      <c r="A444" s="119">
        <v>2017</v>
      </c>
      <c r="B444" s="119" t="s">
        <v>197</v>
      </c>
      <c r="C444" s="119" t="s">
        <v>74</v>
      </c>
      <c r="D444" s="119" t="s">
        <v>515</v>
      </c>
      <c r="F444" s="131" t="s">
        <v>623</v>
      </c>
      <c r="G444" s="131" t="s">
        <v>624</v>
      </c>
      <c r="H444" s="131" t="s">
        <v>625</v>
      </c>
      <c r="I444" s="131" t="s">
        <v>202</v>
      </c>
      <c r="J444" s="119" t="s">
        <v>621</v>
      </c>
      <c r="K444" s="119" t="s">
        <v>622</v>
      </c>
      <c r="L444" s="119" t="s">
        <v>623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3"/>
        <v>0</v>
      </c>
      <c r="U444" s="137">
        <f t="shared" si="77"/>
        <v>0</v>
      </c>
      <c r="V444" s="137">
        <v>0</v>
      </c>
      <c r="W444" s="137">
        <f t="shared" si="78"/>
        <v>0</v>
      </c>
      <c r="X444" s="137">
        <f t="shared" si="74"/>
        <v>0</v>
      </c>
      <c r="Y444" s="137">
        <f t="shared" si="79"/>
        <v>0</v>
      </c>
      <c r="Z444" s="137">
        <v>122453.03</v>
      </c>
      <c r="AA444" s="137">
        <f t="shared" si="75"/>
        <v>-122453.03</v>
      </c>
      <c r="AB444" s="146">
        <f t="shared" si="84"/>
        <v>116621.93333333333</v>
      </c>
      <c r="AC444" s="147">
        <f t="shared" si="76"/>
        <v>5831.0966666666645</v>
      </c>
      <c r="AD444" s="137">
        <f>Z444*0.734226585667168</f>
        <v>89908.270121499299</v>
      </c>
      <c r="AE444" s="138">
        <v>0.2</v>
      </c>
      <c r="AF444" s="137">
        <f t="shared" si="83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hidden="1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620</v>
      </c>
      <c r="G445" s="119" t="s">
        <v>620</v>
      </c>
      <c r="H445" s="119" t="s">
        <v>620</v>
      </c>
      <c r="I445" s="163" t="s">
        <v>202</v>
      </c>
      <c r="J445" s="119" t="s">
        <v>572</v>
      </c>
      <c r="K445" s="119" t="s">
        <v>573</v>
      </c>
      <c r="L445" s="119" t="s">
        <v>620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3"/>
        <v>1000</v>
      </c>
      <c r="U445" s="137">
        <f t="shared" si="77"/>
        <v>51000</v>
      </c>
      <c r="V445" s="137">
        <v>0</v>
      </c>
      <c r="W445" s="137">
        <f t="shared" si="78"/>
        <v>51000</v>
      </c>
      <c r="X445" s="137">
        <f t="shared" si="74"/>
        <v>50000</v>
      </c>
      <c r="Y445" s="137">
        <f t="shared" si="79"/>
        <v>1000</v>
      </c>
      <c r="Z445" s="137">
        <v>0</v>
      </c>
      <c r="AA445" s="137">
        <f t="shared" si="75"/>
        <v>0</v>
      </c>
      <c r="AB445" s="146">
        <f t="shared" si="84"/>
        <v>0</v>
      </c>
      <c r="AC445" s="147">
        <f t="shared" si="76"/>
        <v>0</v>
      </c>
      <c r="AD445" s="137">
        <f t="shared" ref="AD445:AD455" si="85">Z445*0.980277351080772</f>
        <v>0</v>
      </c>
      <c r="AE445" s="138">
        <v>0.1077</v>
      </c>
      <c r="AF445" s="137">
        <f t="shared" si="83"/>
        <v>0</v>
      </c>
      <c r="AG445" s="137">
        <v>0</v>
      </c>
      <c r="AH445" s="154"/>
      <c r="AI445" s="154"/>
      <c r="AJ445" s="135" t="s">
        <v>626</v>
      </c>
      <c r="AK445" s="119" t="s">
        <v>626</v>
      </c>
      <c r="AM445" s="131"/>
    </row>
    <row r="446" spans="1:39" s="119" customFormat="1" ht="15" hidden="1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627</v>
      </c>
      <c r="G446" s="119" t="s">
        <v>627</v>
      </c>
      <c r="H446" s="119" t="s">
        <v>627</v>
      </c>
      <c r="I446" s="163" t="s">
        <v>202</v>
      </c>
      <c r="J446" s="119" t="s">
        <v>572</v>
      </c>
      <c r="K446" s="119" t="s">
        <v>573</v>
      </c>
      <c r="L446" s="119" t="s">
        <v>628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3"/>
        <v>18070.461500000001</v>
      </c>
      <c r="U446" s="137">
        <f t="shared" si="77"/>
        <v>379479.69149999996</v>
      </c>
      <c r="V446" s="137">
        <v>370000</v>
      </c>
      <c r="W446" s="137">
        <f t="shared" si="78"/>
        <v>9479.6914999999572</v>
      </c>
      <c r="X446" s="137">
        <f t="shared" si="74"/>
        <v>9028.2776190475779</v>
      </c>
      <c r="Y446" s="137">
        <f t="shared" si="79"/>
        <v>451.41388095237926</v>
      </c>
      <c r="Z446" s="137">
        <v>332168.49</v>
      </c>
      <c r="AA446" s="137">
        <f t="shared" si="75"/>
        <v>37831.510000000009</v>
      </c>
      <c r="AB446" s="146">
        <f t="shared" si="84"/>
        <v>316350.94285714283</v>
      </c>
      <c r="AC446" s="147">
        <f t="shared" si="76"/>
        <v>15817.547142857162</v>
      </c>
      <c r="AD446" s="137">
        <f t="shared" si="85"/>
        <v>325617.24748969986</v>
      </c>
      <c r="AE446" s="138">
        <v>0.1077</v>
      </c>
      <c r="AF446" s="137">
        <f t="shared" si="83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629</v>
      </c>
      <c r="G447" s="119" t="s">
        <v>629</v>
      </c>
      <c r="H447" s="119" t="s">
        <v>629</v>
      </c>
      <c r="I447" s="163" t="s">
        <v>202</v>
      </c>
      <c r="J447" s="119" t="s">
        <v>572</v>
      </c>
      <c r="K447" s="119" t="s">
        <v>573</v>
      </c>
      <c r="L447" s="119" t="s">
        <v>629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3"/>
        <v>200</v>
      </c>
      <c r="U447" s="137">
        <f t="shared" si="77"/>
        <v>10200</v>
      </c>
      <c r="V447" s="137">
        <v>10200</v>
      </c>
      <c r="W447" s="137">
        <f t="shared" si="78"/>
        <v>0</v>
      </c>
      <c r="X447" s="137">
        <f t="shared" si="74"/>
        <v>0</v>
      </c>
      <c r="Y447" s="137">
        <f t="shared" si="79"/>
        <v>0</v>
      </c>
      <c r="Z447" s="137">
        <v>8799</v>
      </c>
      <c r="AA447" s="137">
        <f t="shared" si="75"/>
        <v>1401</v>
      </c>
      <c r="AB447" s="146">
        <f t="shared" si="84"/>
        <v>8626.4705882352937</v>
      </c>
      <c r="AC447" s="147">
        <f t="shared" si="76"/>
        <v>172.52941176470631</v>
      </c>
      <c r="AD447" s="137">
        <f t="shared" si="85"/>
        <v>8625.4604121597131</v>
      </c>
      <c r="AE447" s="138">
        <v>0.1077</v>
      </c>
      <c r="AF447" s="137">
        <f t="shared" si="83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572</v>
      </c>
      <c r="K448" s="119" t="s">
        <v>573</v>
      </c>
      <c r="L448" s="119" t="s">
        <v>630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3"/>
        <v>621.447</v>
      </c>
      <c r="U448" s="137">
        <f t="shared" si="77"/>
        <v>31693.796999999999</v>
      </c>
      <c r="V448" s="137">
        <v>44154</v>
      </c>
      <c r="W448" s="137">
        <f t="shared" si="78"/>
        <v>-12460.203000000001</v>
      </c>
      <c r="X448" s="137">
        <f t="shared" si="74"/>
        <v>-12215.885294117648</v>
      </c>
      <c r="Y448" s="137">
        <f t="shared" si="79"/>
        <v>-244.31770588235304</v>
      </c>
      <c r="Z448" s="137">
        <v>31693.8</v>
      </c>
      <c r="AA448" s="137">
        <f t="shared" si="75"/>
        <v>12460.2</v>
      </c>
      <c r="AB448" s="146">
        <f t="shared" si="84"/>
        <v>31072.352941176468</v>
      </c>
      <c r="AC448" s="147">
        <f t="shared" si="76"/>
        <v>621.44705882353082</v>
      </c>
      <c r="AD448" s="137">
        <f t="shared" si="85"/>
        <v>31068.714309683768</v>
      </c>
      <c r="AE448" s="138">
        <v>0.1077</v>
      </c>
      <c r="AF448" s="137">
        <f t="shared" si="83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hidden="1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572</v>
      </c>
      <c r="K449" s="119" t="s">
        <v>573</v>
      </c>
      <c r="L449" s="119" t="s">
        <v>630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3"/>
        <v>387.56160000000006</v>
      </c>
      <c r="U449" s="137">
        <f t="shared" si="77"/>
        <v>5232.0816000000004</v>
      </c>
      <c r="V449" s="137">
        <v>0</v>
      </c>
      <c r="W449" s="137">
        <f t="shared" si="78"/>
        <v>5232.0816000000004</v>
      </c>
      <c r="X449" s="137">
        <f t="shared" si="74"/>
        <v>4844.5200000000004</v>
      </c>
      <c r="Y449" s="137">
        <f t="shared" si="79"/>
        <v>387.5616</v>
      </c>
      <c r="Z449" s="137">
        <v>4941.41</v>
      </c>
      <c r="AA449" s="137">
        <f t="shared" si="75"/>
        <v>-4941.41</v>
      </c>
      <c r="AB449" s="146">
        <f t="shared" si="84"/>
        <v>4575.3796296296296</v>
      </c>
      <c r="AC449" s="147">
        <f t="shared" si="76"/>
        <v>366.03037037037029</v>
      </c>
      <c r="AD449" s="137">
        <f t="shared" si="85"/>
        <v>4843.9523054040374</v>
      </c>
      <c r="AE449" s="138">
        <v>0.31559999999999999</v>
      </c>
      <c r="AF449" s="137">
        <f t="shared" si="83"/>
        <v>1528.7513475855142</v>
      </c>
      <c r="AG449" s="137">
        <v>1369.4547652307699</v>
      </c>
      <c r="AH449" s="154"/>
      <c r="AI449" s="154"/>
      <c r="AJ449" s="135" t="s">
        <v>609</v>
      </c>
      <c r="AK449" s="119" t="s">
        <v>609</v>
      </c>
      <c r="AM449" s="131"/>
    </row>
    <row r="450" spans="1:39" s="119" customFormat="1" ht="15" hidden="1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631</v>
      </c>
      <c r="G450" s="119" t="s">
        <v>631</v>
      </c>
      <c r="H450" s="119" t="s">
        <v>631</v>
      </c>
      <c r="I450" s="163" t="s">
        <v>202</v>
      </c>
      <c r="J450" s="119" t="s">
        <v>572</v>
      </c>
      <c r="K450" s="119" t="s">
        <v>573</v>
      </c>
      <c r="L450" s="119" t="s">
        <v>631</v>
      </c>
      <c r="M450" s="119" t="s">
        <v>45</v>
      </c>
      <c r="N450" s="136">
        <v>0.02</v>
      </c>
      <c r="O450" s="135" t="s">
        <v>492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6">S450*N450</f>
        <v>400</v>
      </c>
      <c r="U450" s="137">
        <f t="shared" si="77"/>
        <v>20400</v>
      </c>
      <c r="V450" s="137">
        <v>20400</v>
      </c>
      <c r="W450" s="137">
        <f t="shared" si="78"/>
        <v>0</v>
      </c>
      <c r="X450" s="137">
        <f t="shared" ref="X450:X513" si="87">W450/(1+N450)</f>
        <v>0</v>
      </c>
      <c r="Y450" s="137">
        <f t="shared" si="79"/>
        <v>0</v>
      </c>
      <c r="Z450" s="137">
        <v>30871.1</v>
      </c>
      <c r="AA450" s="137">
        <f t="shared" ref="AA450:AA513" si="88">Q450+V450-Z450</f>
        <v>0</v>
      </c>
      <c r="AB450" s="146">
        <v>20000</v>
      </c>
      <c r="AC450" s="147">
        <f t="shared" ref="AC450:AC513" si="89">IF(O450="返现",Z450*N450,Z450-AB450)</f>
        <v>617.42200000000003</v>
      </c>
      <c r="AD450" s="137">
        <f t="shared" si="85"/>
        <v>30262.240132949617</v>
      </c>
      <c r="AE450" s="138">
        <v>0.1077</v>
      </c>
      <c r="AF450" s="137">
        <f t="shared" si="83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572</v>
      </c>
      <c r="K451" s="119" t="s">
        <v>573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 t="s">
        <v>1690</v>
      </c>
      <c r="Q451" s="137">
        <v>0</v>
      </c>
      <c r="R451" s="137">
        <v>0</v>
      </c>
      <c r="S451" s="137">
        <v>3055630.1</v>
      </c>
      <c r="T451" s="137">
        <f t="shared" si="86"/>
        <v>61112.602000000006</v>
      </c>
      <c r="U451" s="137">
        <f t="shared" ref="U451:U514" si="90">R451+S451+T451</f>
        <v>3116742.702</v>
      </c>
      <c r="V451" s="137">
        <v>3458761.17</v>
      </c>
      <c r="W451" s="137">
        <f t="shared" ref="W451:W514" si="91">U451-V451</f>
        <v>-342018.46799999988</v>
      </c>
      <c r="X451" s="137">
        <f t="shared" si="87"/>
        <v>-335312.22352941165</v>
      </c>
      <c r="Y451" s="137">
        <f t="shared" ref="Y451:Y514" si="92">W451-X451</f>
        <v>-6706.2444705882226</v>
      </c>
      <c r="Z451" s="137">
        <v>3112542.7</v>
      </c>
      <c r="AA451" s="137">
        <f t="shared" si="88"/>
        <v>346218.46999999974</v>
      </c>
      <c r="AB451" s="146">
        <f>(Z451-961.17)/(1+N451)</f>
        <v>3050570.1274509807</v>
      </c>
      <c r="AC451" s="147">
        <f t="shared" si="89"/>
        <v>61972.572549019475</v>
      </c>
      <c r="AD451" s="137">
        <f t="shared" si="85"/>
        <v>3051155.1130817942</v>
      </c>
      <c r="AE451" s="138">
        <v>0.1077</v>
      </c>
      <c r="AF451" s="137">
        <f t="shared" si="83"/>
        <v>328609.40567890927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hidden="1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572</v>
      </c>
      <c r="K452" s="119" t="s">
        <v>573</v>
      </c>
      <c r="L452" s="119" t="s">
        <v>166</v>
      </c>
      <c r="M452" s="119" t="s">
        <v>183</v>
      </c>
      <c r="N452" s="136">
        <v>0.02</v>
      </c>
      <c r="O452" s="135" t="s">
        <v>50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6"/>
        <v>3009.2496000000001</v>
      </c>
      <c r="U452" s="137">
        <f t="shared" si="90"/>
        <v>153471.72960000002</v>
      </c>
      <c r="V452" s="137">
        <v>0</v>
      </c>
      <c r="W452" s="137">
        <f t="shared" si="91"/>
        <v>153471.72960000002</v>
      </c>
      <c r="X452" s="137">
        <f t="shared" si="87"/>
        <v>150462.48000000001</v>
      </c>
      <c r="Y452" s="137">
        <f t="shared" si="92"/>
        <v>3009.2496000000101</v>
      </c>
      <c r="Z452" s="137">
        <v>82071.73</v>
      </c>
      <c r="AA452" s="137">
        <f t="shared" si="88"/>
        <v>-82071.73</v>
      </c>
      <c r="AB452" s="146">
        <f>IF(O452="返货",Z452/(1+N452),IF(O452="返现",Z452,IF(O452="折扣",Z452*N452,IF(O452="无",Z452))))</f>
        <v>80462.480392156853</v>
      </c>
      <c r="AC452" s="147">
        <f t="shared" si="89"/>
        <v>1609.2496078431432</v>
      </c>
      <c r="AD452" s="137">
        <f t="shared" si="85"/>
        <v>80453.058083016324</v>
      </c>
      <c r="AE452" s="138">
        <v>0.31559999999999999</v>
      </c>
      <c r="AF452" s="137">
        <f t="shared" si="83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hidden="1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632</v>
      </c>
      <c r="G453" s="119" t="s">
        <v>633</v>
      </c>
      <c r="H453" s="119" t="s">
        <v>633</v>
      </c>
      <c r="I453" s="163" t="s">
        <v>202</v>
      </c>
      <c r="J453" s="119" t="s">
        <v>572</v>
      </c>
      <c r="K453" s="119" t="s">
        <v>573</v>
      </c>
      <c r="L453" s="119" t="s">
        <v>634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6"/>
        <v>110482.5347999998</v>
      </c>
      <c r="U453" s="137">
        <f t="shared" si="90"/>
        <v>5634609.2747999895</v>
      </c>
      <c r="V453" s="137">
        <v>107132190.3</v>
      </c>
      <c r="W453" s="137">
        <f t="shared" si="91"/>
        <v>-101497581.02520001</v>
      </c>
      <c r="X453" s="137">
        <f t="shared" si="87"/>
        <v>-99507432.377647072</v>
      </c>
      <c r="Y453" s="137">
        <f t="shared" si="92"/>
        <v>-1990148.6475529373</v>
      </c>
      <c r="Z453" s="137">
        <v>2320450.6804</v>
      </c>
      <c r="AA453" s="137">
        <f t="shared" si="88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9"/>
        <v>73664.12118431367</v>
      </c>
      <c r="AD453" s="137">
        <f t="shared" si="85"/>
        <v>2274685.2462960868</v>
      </c>
      <c r="AE453" s="138">
        <v>0.1077</v>
      </c>
      <c r="AF453" s="137">
        <f t="shared" si="83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608</v>
      </c>
      <c r="AM453" s="131"/>
    </row>
    <row r="454" spans="1:39" s="119" customFormat="1" ht="15" hidden="1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632</v>
      </c>
      <c r="G454" s="119" t="s">
        <v>633</v>
      </c>
      <c r="H454" s="119" t="s">
        <v>633</v>
      </c>
      <c r="I454" s="163" t="s">
        <v>202</v>
      </c>
      <c r="J454" s="119" t="s">
        <v>572</v>
      </c>
      <c r="K454" s="119" t="s">
        <v>573</v>
      </c>
      <c r="L454" s="119" t="s">
        <v>634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6"/>
        <v>7372713.0504000001</v>
      </c>
      <c r="U454" s="137">
        <f t="shared" si="90"/>
        <v>99531626.180399999</v>
      </c>
      <c r="V454" s="137">
        <v>0</v>
      </c>
      <c r="W454" s="137">
        <f t="shared" si="91"/>
        <v>99531626.180399999</v>
      </c>
      <c r="X454" s="137">
        <f t="shared" si="87"/>
        <v>92158913.129999995</v>
      </c>
      <c r="Y454" s="137">
        <f t="shared" si="92"/>
        <v>7372713.0504000038</v>
      </c>
      <c r="Z454" s="137">
        <v>30136454.600000001</v>
      </c>
      <c r="AA454" s="137">
        <f t="shared" si="88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9"/>
        <v>2279556.9055555575</v>
      </c>
      <c r="AD454" s="137">
        <f t="shared" si="85"/>
        <v>29542083.886253946</v>
      </c>
      <c r="AE454" s="138">
        <v>0.31559999999999999</v>
      </c>
      <c r="AF454" s="137">
        <f t="shared" si="83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hidden="1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119" t="s">
        <v>632</v>
      </c>
      <c r="G455" s="119" t="s">
        <v>633</v>
      </c>
      <c r="H455" s="119" t="s">
        <v>635</v>
      </c>
      <c r="I455" s="163" t="s">
        <v>202</v>
      </c>
      <c r="J455" s="119" t="s">
        <v>572</v>
      </c>
      <c r="K455" s="119" t="s">
        <v>573</v>
      </c>
      <c r="L455" s="119" t="s">
        <v>634</v>
      </c>
      <c r="M455" s="119" t="s">
        <v>592</v>
      </c>
      <c r="N455" s="136">
        <v>0.2732</v>
      </c>
      <c r="O455" s="135" t="s">
        <v>492</v>
      </c>
      <c r="P455" s="135"/>
      <c r="Q455" s="137">
        <v>0</v>
      </c>
      <c r="R455" s="137">
        <v>0</v>
      </c>
      <c r="S455" s="137">
        <v>4002125</v>
      </c>
      <c r="T455" s="137">
        <f t="shared" si="86"/>
        <v>1093380.55</v>
      </c>
      <c r="U455" s="137">
        <f t="shared" si="90"/>
        <v>5095505.55</v>
      </c>
      <c r="V455" s="137">
        <v>4002125</v>
      </c>
      <c r="W455" s="137">
        <f t="shared" si="91"/>
        <v>1093380.5499999998</v>
      </c>
      <c r="X455" s="137">
        <f t="shared" si="87"/>
        <v>858765.74772227439</v>
      </c>
      <c r="Y455" s="137">
        <f t="shared" si="92"/>
        <v>234614.80227772542</v>
      </c>
      <c r="Z455" s="137">
        <v>4002125</v>
      </c>
      <c r="AA455" s="137">
        <f t="shared" si="88"/>
        <v>0</v>
      </c>
      <c r="AB455" s="146">
        <f>IF(O455="返货",Z455/(1+N455),IF(O455="返现",Z455,IF(O455="折扣",Z455*N455,IF(O455="无",Z455))))</f>
        <v>4002125</v>
      </c>
      <c r="AC455" s="147">
        <f t="shared" si="89"/>
        <v>1093380.55</v>
      </c>
      <c r="AD455" s="137">
        <f t="shared" si="85"/>
        <v>3923192.4936941345</v>
      </c>
      <c r="AE455" s="138">
        <v>0.35339999999999999</v>
      </c>
      <c r="AF455" s="137">
        <f t="shared" si="83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hidden="1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623</v>
      </c>
      <c r="G456" s="119" t="s">
        <v>624</v>
      </c>
      <c r="H456" s="163" t="s">
        <v>625</v>
      </c>
      <c r="I456" s="163" t="s">
        <v>202</v>
      </c>
      <c r="J456" s="119" t="s">
        <v>621</v>
      </c>
      <c r="K456" s="119" t="s">
        <v>622</v>
      </c>
      <c r="L456" s="119" t="s">
        <v>623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6"/>
        <v>18700</v>
      </c>
      <c r="U456" s="137">
        <f t="shared" si="90"/>
        <v>953700</v>
      </c>
      <c r="V456" s="137">
        <v>755000</v>
      </c>
      <c r="W456" s="137">
        <f t="shared" si="91"/>
        <v>198700</v>
      </c>
      <c r="X456" s="137">
        <f t="shared" si="87"/>
        <v>194803.92156862744</v>
      </c>
      <c r="Y456" s="137">
        <f t="shared" si="92"/>
        <v>3896.0784313725599</v>
      </c>
      <c r="Z456" s="137">
        <v>570692.81999999995</v>
      </c>
      <c r="AA456" s="137">
        <f t="shared" si="88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9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3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hidden="1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623</v>
      </c>
      <c r="G457" s="119" t="s">
        <v>624</v>
      </c>
      <c r="H457" s="163" t="s">
        <v>625</v>
      </c>
      <c r="I457" s="163" t="s">
        <v>202</v>
      </c>
      <c r="J457" s="119" t="s">
        <v>600</v>
      </c>
      <c r="K457" s="119" t="s">
        <v>636</v>
      </c>
      <c r="L457" s="119" t="s">
        <v>623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6"/>
        <v>4800</v>
      </c>
      <c r="U457" s="137">
        <f t="shared" si="90"/>
        <v>244800</v>
      </c>
      <c r="V457" s="137">
        <v>330000</v>
      </c>
      <c r="W457" s="137">
        <f t="shared" si="91"/>
        <v>-85200</v>
      </c>
      <c r="X457" s="137">
        <f t="shared" si="87"/>
        <v>-83529.411764705874</v>
      </c>
      <c r="Y457" s="137">
        <f t="shared" si="92"/>
        <v>-1670.5882352941262</v>
      </c>
      <c r="Z457" s="137">
        <v>202688.75</v>
      </c>
      <c r="AA457" s="137">
        <f t="shared" si="88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9"/>
        <v>3974.2892156862654</v>
      </c>
      <c r="AD457" s="137">
        <v>202688.75</v>
      </c>
      <c r="AE457" s="138">
        <v>7.0000000000000007E-2</v>
      </c>
      <c r="AF457" s="137">
        <f t="shared" si="83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hidden="1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572</v>
      </c>
      <c r="K458" s="119" t="s">
        <v>573</v>
      </c>
      <c r="L458" s="119" t="s">
        <v>637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6"/>
        <v>7000</v>
      </c>
      <c r="U458" s="137">
        <f t="shared" si="90"/>
        <v>147000</v>
      </c>
      <c r="V458" s="137">
        <v>119204</v>
      </c>
      <c r="W458" s="137">
        <f t="shared" si="91"/>
        <v>27796</v>
      </c>
      <c r="X458" s="137">
        <f t="shared" si="87"/>
        <v>26472.38095238095</v>
      </c>
      <c r="Y458" s="137">
        <f t="shared" si="92"/>
        <v>1323.6190476190495</v>
      </c>
      <c r="Z458" s="137">
        <v>205730.61</v>
      </c>
      <c r="AA458" s="137">
        <f t="shared" si="88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9"/>
        <v>19320.50523809524</v>
      </c>
      <c r="AD458" s="137">
        <f t="shared" ref="AD458:AD475" si="93">Z458*0.980277351080772</f>
        <v>201673.05740703136</v>
      </c>
      <c r="AE458" s="138">
        <v>0.1077</v>
      </c>
      <c r="AF458" s="137">
        <f t="shared" si="83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586</v>
      </c>
      <c r="AM458" s="131"/>
    </row>
    <row r="459" spans="1:39" s="119" customFormat="1" ht="15" hidden="1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638</v>
      </c>
      <c r="G459" s="119" t="s">
        <v>638</v>
      </c>
      <c r="H459" s="119" t="s">
        <v>638</v>
      </c>
      <c r="I459" s="163" t="s">
        <v>202</v>
      </c>
      <c r="J459" s="119" t="s">
        <v>572</v>
      </c>
      <c r="K459" s="119" t="s">
        <v>573</v>
      </c>
      <c r="L459" s="119" t="s">
        <v>639</v>
      </c>
      <c r="M459" s="119" t="s">
        <v>183</v>
      </c>
      <c r="N459" s="136">
        <v>0.2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6"/>
        <v>10262.758000000002</v>
      </c>
      <c r="U459" s="137">
        <f t="shared" si="90"/>
        <v>61576.548000000003</v>
      </c>
      <c r="V459" s="137">
        <v>0</v>
      </c>
      <c r="W459" s="137">
        <f t="shared" si="91"/>
        <v>61576.548000000003</v>
      </c>
      <c r="X459" s="137">
        <f t="shared" si="87"/>
        <v>51313.79</v>
      </c>
      <c r="Y459" s="137">
        <f t="shared" si="92"/>
        <v>10262.758000000002</v>
      </c>
      <c r="Z459" s="137">
        <v>64013.31</v>
      </c>
      <c r="AA459" s="137">
        <f t="shared" si="88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9"/>
        <v>10668.884999999995</v>
      </c>
      <c r="AD459" s="137">
        <f t="shared" si="93"/>
        <v>62750.797960712291</v>
      </c>
      <c r="AE459" s="138">
        <v>0.31559999999999999</v>
      </c>
      <c r="AF459" s="137">
        <f t="shared" si="83"/>
        <v>19804.151836400797</v>
      </c>
      <c r="AG459" s="137">
        <v>9533.7156360000008</v>
      </c>
      <c r="AH459" s="154"/>
      <c r="AI459" s="154"/>
      <c r="AJ459" s="135" t="s">
        <v>640</v>
      </c>
      <c r="AK459" s="119" t="s">
        <v>640</v>
      </c>
      <c r="AM459" s="131"/>
    </row>
    <row r="460" spans="1:39" s="119" customFormat="1" ht="15" hidden="1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638</v>
      </c>
      <c r="G460" s="119" t="s">
        <v>638</v>
      </c>
      <c r="H460" s="119" t="s">
        <v>638</v>
      </c>
      <c r="I460" s="163" t="s">
        <v>202</v>
      </c>
      <c r="J460" s="119" t="s">
        <v>572</v>
      </c>
      <c r="K460" s="119" t="s">
        <v>573</v>
      </c>
      <c r="L460" s="119" t="s">
        <v>639</v>
      </c>
      <c r="M460" s="119" t="s">
        <v>45</v>
      </c>
      <c r="N460" s="136">
        <v>7.0000000000000007E-2</v>
      </c>
      <c r="O460" s="135" t="s">
        <v>50</v>
      </c>
      <c r="P460" s="135"/>
      <c r="Q460" s="137">
        <v>20500</v>
      </c>
      <c r="R460" s="137">
        <v>0</v>
      </c>
      <c r="S460" s="137">
        <v>283786.02</v>
      </c>
      <c r="T460" s="137">
        <f t="shared" si="86"/>
        <v>19865.021400000001</v>
      </c>
      <c r="U460" s="137">
        <f t="shared" si="90"/>
        <v>303651.04140000005</v>
      </c>
      <c r="V460" s="137">
        <v>410175.59</v>
      </c>
      <c r="W460" s="137">
        <f t="shared" si="91"/>
        <v>-106524.54859999998</v>
      </c>
      <c r="X460" s="137">
        <f t="shared" si="87"/>
        <v>-99555.65289719624</v>
      </c>
      <c r="Y460" s="137">
        <f t="shared" si="92"/>
        <v>-6968.8957028037403</v>
      </c>
      <c r="Z460" s="137">
        <v>321762.09000000003</v>
      </c>
      <c r="AA460" s="137">
        <f t="shared" si="88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9"/>
        <v>40208.734859813121</v>
      </c>
      <c r="AD460" s="137">
        <f t="shared" si="93"/>
        <v>315416.08926341299</v>
      </c>
      <c r="AE460" s="138">
        <v>0.1077</v>
      </c>
      <c r="AF460" s="137">
        <f t="shared" si="83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586</v>
      </c>
      <c r="AM460" s="131"/>
    </row>
    <row r="461" spans="1:39" s="119" customFormat="1" ht="15" hidden="1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570</v>
      </c>
      <c r="G461" s="119" t="s">
        <v>570</v>
      </c>
      <c r="H461" s="119" t="s">
        <v>570</v>
      </c>
      <c r="I461" s="163" t="s">
        <v>202</v>
      </c>
      <c r="J461" s="119" t="s">
        <v>572</v>
      </c>
      <c r="K461" s="119" t="s">
        <v>573</v>
      </c>
      <c r="L461" s="119" t="s">
        <v>574</v>
      </c>
      <c r="M461" s="119" t="s">
        <v>45</v>
      </c>
      <c r="N461" s="136">
        <v>0.05</v>
      </c>
      <c r="O461" s="135" t="s">
        <v>492</v>
      </c>
      <c r="P461" s="135"/>
      <c r="Q461" s="137">
        <v>0</v>
      </c>
      <c r="R461" s="137">
        <v>0</v>
      </c>
      <c r="S461" s="137">
        <v>5000</v>
      </c>
      <c r="T461" s="137">
        <f t="shared" si="86"/>
        <v>250</v>
      </c>
      <c r="U461" s="137">
        <f t="shared" si="90"/>
        <v>5250</v>
      </c>
      <c r="V461" s="137">
        <v>0</v>
      </c>
      <c r="W461" s="137">
        <f t="shared" si="91"/>
        <v>5250</v>
      </c>
      <c r="X461" s="137">
        <f t="shared" si="87"/>
        <v>5000</v>
      </c>
      <c r="Y461" s="137">
        <f t="shared" si="92"/>
        <v>250</v>
      </c>
      <c r="Z461" s="137">
        <v>0</v>
      </c>
      <c r="AA461" s="137">
        <f t="shared" si="88"/>
        <v>0</v>
      </c>
      <c r="AB461" s="146">
        <f>IF(O461="返货",Z461/(1+N461),IF(O461="返现",Z461,IF(O461="折扣",Z461*N461,IF(O461="无",Z461))))</f>
        <v>0</v>
      </c>
      <c r="AC461" s="147">
        <f t="shared" si="89"/>
        <v>0</v>
      </c>
      <c r="AD461" s="137">
        <f t="shared" si="93"/>
        <v>0</v>
      </c>
      <c r="AE461" s="138">
        <v>0.1077</v>
      </c>
      <c r="AF461" s="137">
        <f t="shared" si="83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582</v>
      </c>
      <c r="G462" s="119" t="s">
        <v>582</v>
      </c>
      <c r="H462" s="119" t="s">
        <v>582</v>
      </c>
      <c r="I462" s="163" t="s">
        <v>202</v>
      </c>
      <c r="J462" s="119" t="s">
        <v>572</v>
      </c>
      <c r="K462" s="119" t="s">
        <v>573</v>
      </c>
      <c r="L462" s="119" t="s">
        <v>584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6"/>
        <v>3375</v>
      </c>
      <c r="U462" s="137">
        <f t="shared" si="90"/>
        <v>70875</v>
      </c>
      <c r="V462" s="137">
        <v>0</v>
      </c>
      <c r="W462" s="137">
        <f t="shared" si="91"/>
        <v>70875</v>
      </c>
      <c r="X462" s="137">
        <f t="shared" si="87"/>
        <v>67500</v>
      </c>
      <c r="Y462" s="137">
        <f t="shared" si="92"/>
        <v>3375</v>
      </c>
      <c r="Z462" s="137">
        <v>0</v>
      </c>
      <c r="AA462" s="137">
        <f t="shared" si="88"/>
        <v>0</v>
      </c>
      <c r="AB462" s="146">
        <f>IF(O462="返货",Z462/(1+N462),IF(O462="返现",Z462,IF(O462="折扣",Z462*N462,IF(O462="无",Z462))))</f>
        <v>0</v>
      </c>
      <c r="AC462" s="147">
        <f t="shared" si="89"/>
        <v>0</v>
      </c>
      <c r="AD462" s="137">
        <f t="shared" si="93"/>
        <v>0</v>
      </c>
      <c r="AE462" s="138">
        <v>0.1077</v>
      </c>
      <c r="AF462" s="137">
        <f t="shared" si="83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572</v>
      </c>
      <c r="K463" s="119" t="s">
        <v>573</v>
      </c>
      <c r="L463" s="119" t="s">
        <v>641</v>
      </c>
      <c r="M463" s="119" t="s">
        <v>183</v>
      </c>
      <c r="N463" s="136">
        <v>0.2</v>
      </c>
      <c r="O463" s="135" t="s">
        <v>492</v>
      </c>
      <c r="P463" s="135"/>
      <c r="Q463" s="137">
        <v>2000</v>
      </c>
      <c r="R463" s="137">
        <v>0</v>
      </c>
      <c r="S463" s="137">
        <v>1131779.55</v>
      </c>
      <c r="T463" s="137">
        <f t="shared" si="86"/>
        <v>226355.91000000003</v>
      </c>
      <c r="U463" s="137">
        <f t="shared" si="90"/>
        <v>1358135.46</v>
      </c>
      <c r="V463" s="137">
        <v>0</v>
      </c>
      <c r="W463" s="137">
        <f t="shared" si="91"/>
        <v>1358135.46</v>
      </c>
      <c r="X463" s="137">
        <f t="shared" si="87"/>
        <v>1131779.55</v>
      </c>
      <c r="Y463" s="137">
        <f t="shared" si="92"/>
        <v>226355.90999999992</v>
      </c>
      <c r="Z463" s="137">
        <v>1131779.54</v>
      </c>
      <c r="AA463" s="137">
        <f t="shared" si="88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9"/>
        <v>226355.90800000002</v>
      </c>
      <c r="AD463" s="137">
        <f t="shared" si="93"/>
        <v>1109457.8494786145</v>
      </c>
      <c r="AE463" s="138">
        <v>0.31559999999999999</v>
      </c>
      <c r="AF463" s="137">
        <f t="shared" si="83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586</v>
      </c>
      <c r="AM463" s="131"/>
    </row>
    <row r="464" spans="1:39" s="119" customFormat="1" ht="15" hidden="1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572</v>
      </c>
      <c r="K464" s="119" t="s">
        <v>573</v>
      </c>
      <c r="L464" s="119" t="s">
        <v>641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6"/>
        <v>158967.36870000002</v>
      </c>
      <c r="U464" s="137">
        <f t="shared" si="90"/>
        <v>2429929.7787000001</v>
      </c>
      <c r="V464" s="137">
        <v>7341965.29</v>
      </c>
      <c r="W464" s="137">
        <f t="shared" si="91"/>
        <v>-4912035.5112999994</v>
      </c>
      <c r="X464" s="137">
        <f t="shared" si="87"/>
        <v>-4590687.3937383173</v>
      </c>
      <c r="Y464" s="137">
        <f t="shared" si="92"/>
        <v>-321348.11756168213</v>
      </c>
      <c r="Z464" s="137">
        <v>5200962.41</v>
      </c>
      <c r="AA464" s="137">
        <f t="shared" si="88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9"/>
        <v>410824.37037383206</v>
      </c>
      <c r="AD464" s="137">
        <f t="shared" si="93"/>
        <v>5098385.6543454677</v>
      </c>
      <c r="AE464" s="138">
        <v>0.1077</v>
      </c>
      <c r="AF464" s="137">
        <f t="shared" si="83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586</v>
      </c>
      <c r="AM464" s="131"/>
    </row>
    <row r="465" spans="1:39" s="119" customFormat="1" ht="15" hidden="1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119" t="s">
        <v>203</v>
      </c>
      <c r="G465" s="119" t="s">
        <v>642</v>
      </c>
      <c r="H465" s="119" t="s">
        <v>642</v>
      </c>
      <c r="I465" s="163" t="s">
        <v>202</v>
      </c>
      <c r="J465" s="119" t="s">
        <v>572</v>
      </c>
      <c r="K465" s="119" t="s">
        <v>573</v>
      </c>
      <c r="L465" s="119" t="s">
        <v>641</v>
      </c>
      <c r="M465" s="119" t="s">
        <v>592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6"/>
        <v>0</v>
      </c>
      <c r="U465" s="137">
        <f t="shared" si="90"/>
        <v>612810</v>
      </c>
      <c r="V465" s="137">
        <v>369210</v>
      </c>
      <c r="W465" s="137">
        <f t="shared" si="91"/>
        <v>243600</v>
      </c>
      <c r="X465" s="137">
        <f t="shared" si="87"/>
        <v>243600</v>
      </c>
      <c r="Y465" s="137">
        <f t="shared" si="92"/>
        <v>0</v>
      </c>
      <c r="Z465" s="137">
        <v>369210</v>
      </c>
      <c r="AA465" s="137">
        <f t="shared" si="88"/>
        <v>0</v>
      </c>
      <c r="AB465" s="146">
        <f>IF(O465="返货",Z465/(1+N465),IF(O465="返现",Z465,IF(O465="折扣",Z465*N465,IF(O465="无",Z465))))</f>
        <v>369210</v>
      </c>
      <c r="AC465" s="147">
        <f t="shared" si="89"/>
        <v>0</v>
      </c>
      <c r="AD465" s="137">
        <f t="shared" si="93"/>
        <v>361928.20079253183</v>
      </c>
      <c r="AE465" s="138">
        <v>0.35339999999999999</v>
      </c>
      <c r="AF465" s="137">
        <f t="shared" si="83"/>
        <v>127905.42616008075</v>
      </c>
      <c r="AG465" s="137">
        <v>130478.814</v>
      </c>
      <c r="AH465" s="154"/>
      <c r="AI465" s="154"/>
      <c r="AJ465" s="135" t="s">
        <v>643</v>
      </c>
      <c r="AK465" s="119" t="s">
        <v>643</v>
      </c>
      <c r="AM465" s="131"/>
    </row>
    <row r="466" spans="1:39" s="119" customFormat="1" ht="15" hidden="1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642</v>
      </c>
      <c r="H466" s="119" t="s">
        <v>642</v>
      </c>
      <c r="I466" s="163" t="s">
        <v>202</v>
      </c>
      <c r="J466" s="119" t="s">
        <v>572</v>
      </c>
      <c r="K466" s="119" t="s">
        <v>573</v>
      </c>
      <c r="L466" s="119" t="s">
        <v>641</v>
      </c>
      <c r="M466" s="119" t="s">
        <v>45</v>
      </c>
      <c r="N466" s="136">
        <v>0.04</v>
      </c>
      <c r="O466" s="135" t="s">
        <v>492</v>
      </c>
      <c r="P466" s="135"/>
      <c r="Q466" s="137">
        <v>0</v>
      </c>
      <c r="R466" s="137">
        <v>0</v>
      </c>
      <c r="S466" s="137">
        <v>2940000</v>
      </c>
      <c r="T466" s="137">
        <f t="shared" si="86"/>
        <v>117600</v>
      </c>
      <c r="U466" s="137">
        <f t="shared" si="90"/>
        <v>3057600</v>
      </c>
      <c r="V466" s="137">
        <v>0</v>
      </c>
      <c r="W466" s="137">
        <f t="shared" si="91"/>
        <v>3057600</v>
      </c>
      <c r="X466" s="137">
        <f t="shared" si="87"/>
        <v>2940000</v>
      </c>
      <c r="Y466" s="137">
        <f t="shared" si="92"/>
        <v>117600</v>
      </c>
      <c r="Z466" s="137">
        <v>0</v>
      </c>
      <c r="AA466" s="137">
        <f t="shared" si="88"/>
        <v>0</v>
      </c>
      <c r="AB466" s="146">
        <f>IF(O466="返货",Z466/(1+N466),IF(O466="返现",Z466,IF(O466="折扣",Z466*N466,IF(O466="无",Z466))))</f>
        <v>0</v>
      </c>
      <c r="AC466" s="147">
        <f t="shared" si="89"/>
        <v>0</v>
      </c>
      <c r="AD466" s="137">
        <f t="shared" si="93"/>
        <v>0</v>
      </c>
      <c r="AE466" s="138">
        <v>0.1077</v>
      </c>
      <c r="AF466" s="137">
        <f t="shared" si="83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119" t="s">
        <v>203</v>
      </c>
      <c r="G467" s="119" t="s">
        <v>642</v>
      </c>
      <c r="H467" s="119" t="s">
        <v>642</v>
      </c>
      <c r="I467" s="163" t="s">
        <v>202</v>
      </c>
      <c r="J467" s="119" t="s">
        <v>572</v>
      </c>
      <c r="K467" s="119" t="s">
        <v>573</v>
      </c>
      <c r="L467" s="119" t="s">
        <v>641</v>
      </c>
      <c r="M467" s="119" t="s">
        <v>158</v>
      </c>
      <c r="N467" s="136">
        <v>0.04</v>
      </c>
      <c r="O467" s="135" t="s">
        <v>492</v>
      </c>
      <c r="P467" s="135"/>
      <c r="Q467" s="137">
        <v>0</v>
      </c>
      <c r="R467" s="137">
        <v>0</v>
      </c>
      <c r="S467" s="137">
        <v>250000</v>
      </c>
      <c r="T467" s="137">
        <f t="shared" si="86"/>
        <v>10000</v>
      </c>
      <c r="U467" s="137">
        <f t="shared" si="90"/>
        <v>260000</v>
      </c>
      <c r="V467" s="137">
        <v>493600</v>
      </c>
      <c r="W467" s="137">
        <f t="shared" si="91"/>
        <v>-233600</v>
      </c>
      <c r="X467" s="137">
        <f t="shared" si="87"/>
        <v>-224615.3846153846</v>
      </c>
      <c r="Y467" s="137">
        <f t="shared" si="92"/>
        <v>-8984.6153846154048</v>
      </c>
      <c r="Z467" s="137">
        <v>493600</v>
      </c>
      <c r="AA467" s="137">
        <f t="shared" si="88"/>
        <v>0</v>
      </c>
      <c r="AB467" s="146">
        <f>IF(O467="返货",Z467/(1+N467),IF(O467="返现",Z467,IF(O467="折扣",Z467*N467,IF(O467="无",Z467))))</f>
        <v>493600</v>
      </c>
      <c r="AC467" s="147">
        <f t="shared" si="89"/>
        <v>19744</v>
      </c>
      <c r="AD467" s="137">
        <f t="shared" si="93"/>
        <v>483864.90049346903</v>
      </c>
      <c r="AE467" s="138">
        <v>0.1077</v>
      </c>
      <c r="AF467" s="137">
        <f t="shared" si="83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644</v>
      </c>
      <c r="F468" s="119" t="s">
        <v>535</v>
      </c>
      <c r="G468" s="119" t="s">
        <v>535</v>
      </c>
      <c r="H468" s="119" t="s">
        <v>535</v>
      </c>
      <c r="I468" s="163" t="s">
        <v>202</v>
      </c>
      <c r="J468" s="119" t="s">
        <v>572</v>
      </c>
      <c r="K468" s="119" t="s">
        <v>573</v>
      </c>
      <c r="L468" s="119" t="s">
        <v>536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6"/>
        <v>929281.19640000002</v>
      </c>
      <c r="U468" s="137">
        <f t="shared" si="90"/>
        <v>47393341.016400002</v>
      </c>
      <c r="V468" s="137">
        <v>76227179.569999993</v>
      </c>
      <c r="W468" s="137">
        <f t="shared" si="91"/>
        <v>-28833838.553599991</v>
      </c>
      <c r="X468" s="137">
        <f t="shared" si="87"/>
        <v>-28268469.170196068</v>
      </c>
      <c r="Y468" s="137">
        <f t="shared" si="92"/>
        <v>-565369.38340392336</v>
      </c>
      <c r="Z468" s="137">
        <v>47499240.75</v>
      </c>
      <c r="AA468" s="137">
        <f t="shared" si="88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9"/>
        <v>1035072.9558823556</v>
      </c>
      <c r="AD468" s="137">
        <f t="shared" si="93"/>
        <v>46562429.900757857</v>
      </c>
      <c r="AE468" s="138">
        <v>0.1077</v>
      </c>
      <c r="AF468" s="137">
        <f t="shared" si="83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608</v>
      </c>
      <c r="AM468" s="131"/>
    </row>
    <row r="469" spans="1:39" s="119" customFormat="1" ht="15" hidden="1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644</v>
      </c>
      <c r="F469" s="119" t="s">
        <v>535</v>
      </c>
      <c r="G469" s="119" t="s">
        <v>535</v>
      </c>
      <c r="H469" s="119" t="s">
        <v>535</v>
      </c>
      <c r="I469" s="163" t="s">
        <v>202</v>
      </c>
      <c r="J469" s="119" t="s">
        <v>572</v>
      </c>
      <c r="K469" s="119" t="s">
        <v>573</v>
      </c>
      <c r="L469" s="119" t="s">
        <v>536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6"/>
        <v>2042687.2096000002</v>
      </c>
      <c r="U469" s="137">
        <f t="shared" si="90"/>
        <v>27576277.329600003</v>
      </c>
      <c r="V469" s="137">
        <v>0</v>
      </c>
      <c r="W469" s="137">
        <f t="shared" si="91"/>
        <v>27576277.329600003</v>
      </c>
      <c r="X469" s="137">
        <f t="shared" si="87"/>
        <v>25533590.120000001</v>
      </c>
      <c r="Y469" s="137">
        <f t="shared" si="92"/>
        <v>2042687.2096000016</v>
      </c>
      <c r="Z469" s="137">
        <v>28840237.210000001</v>
      </c>
      <c r="AA469" s="137">
        <f t="shared" si="88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9"/>
        <v>2206401.1266666688</v>
      </c>
      <c r="AD469" s="137">
        <f t="shared" si="93"/>
        <v>28271431.336759914</v>
      </c>
      <c r="AE469" s="138">
        <v>0.31559999999999999</v>
      </c>
      <c r="AF469" s="137">
        <f t="shared" si="83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hidden="1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644</v>
      </c>
      <c r="F470" s="119" t="s">
        <v>535</v>
      </c>
      <c r="G470" s="119" t="s">
        <v>535</v>
      </c>
      <c r="H470" s="119" t="s">
        <v>535</v>
      </c>
      <c r="I470" s="163" t="s">
        <v>202</v>
      </c>
      <c r="J470" s="119" t="s">
        <v>572</v>
      </c>
      <c r="K470" s="119" t="s">
        <v>573</v>
      </c>
      <c r="L470" s="119" t="s">
        <v>536</v>
      </c>
      <c r="M470" s="119" t="s">
        <v>592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6"/>
        <v>19749.511999999999</v>
      </c>
      <c r="U470" s="137">
        <f t="shared" si="90"/>
        <v>266618.41200000001</v>
      </c>
      <c r="V470" s="137">
        <v>252424.46</v>
      </c>
      <c r="W470" s="137">
        <f t="shared" si="91"/>
        <v>14193.952000000019</v>
      </c>
      <c r="X470" s="137">
        <f t="shared" si="87"/>
        <v>13142.548148148166</v>
      </c>
      <c r="Y470" s="137">
        <f t="shared" si="92"/>
        <v>1051.4038518518537</v>
      </c>
      <c r="Z470" s="137">
        <v>252424.46</v>
      </c>
      <c r="AA470" s="137">
        <f t="shared" si="88"/>
        <v>0</v>
      </c>
      <c r="AB470" s="146">
        <f>IF(O470="返货",Z470/(1+N470),IF(O470="返现",Z470,IF(O470="折扣",Z470*N470,IF(O470="无",Z470))))</f>
        <v>233726.35185185182</v>
      </c>
      <c r="AC470" s="147">
        <f t="shared" si="89"/>
        <v>18698.108148148167</v>
      </c>
      <c r="AD470" s="137">
        <f t="shared" si="93"/>
        <v>247445.98099679427</v>
      </c>
      <c r="AE470" s="138">
        <v>0.35339999999999999</v>
      </c>
      <c r="AF470" s="137">
        <f t="shared" si="83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hidden="1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644</v>
      </c>
      <c r="F471" s="119" t="s">
        <v>535</v>
      </c>
      <c r="G471" s="119" t="s">
        <v>535</v>
      </c>
      <c r="H471" s="119" t="s">
        <v>535</v>
      </c>
      <c r="I471" s="163" t="s">
        <v>202</v>
      </c>
      <c r="J471" s="119" t="s">
        <v>572</v>
      </c>
      <c r="K471" s="119" t="s">
        <v>573</v>
      </c>
      <c r="L471" s="119" t="s">
        <v>536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6"/>
        <v>0</v>
      </c>
      <c r="U471" s="137">
        <f t="shared" si="90"/>
        <v>2110500</v>
      </c>
      <c r="V471" s="137">
        <v>1877419.36</v>
      </c>
      <c r="W471" s="137">
        <f t="shared" si="91"/>
        <v>233080.6399999999</v>
      </c>
      <c r="X471" s="137">
        <f t="shared" si="87"/>
        <v>233080.6399999999</v>
      </c>
      <c r="Y471" s="137">
        <f t="shared" si="92"/>
        <v>0</v>
      </c>
      <c r="Z471" s="137">
        <v>1877419.36</v>
      </c>
      <c r="AA471" s="137">
        <f t="shared" si="88"/>
        <v>0</v>
      </c>
      <c r="AB471" s="146">
        <f>IF(O471="返货",Z471/(1+N471),IF(O471="返现",Z471,IF(O471="折扣",Z471*N471,IF(O471="无",Z471))))</f>
        <v>1877419.36</v>
      </c>
      <c r="AC471" s="147">
        <f t="shared" si="89"/>
        <v>0</v>
      </c>
      <c r="AD471" s="137">
        <f t="shared" si="93"/>
        <v>1840391.6770885582</v>
      </c>
      <c r="AE471" s="138">
        <v>0.1077</v>
      </c>
      <c r="AF471" s="137">
        <f t="shared" si="83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hidden="1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644</v>
      </c>
      <c r="F472" s="119" t="s">
        <v>645</v>
      </c>
      <c r="G472" s="119" t="s">
        <v>645</v>
      </c>
      <c r="H472" s="119" t="s">
        <v>645</v>
      </c>
      <c r="I472" s="163" t="s">
        <v>202</v>
      </c>
      <c r="J472" s="119" t="s">
        <v>572</v>
      </c>
      <c r="K472" s="119" t="s">
        <v>573</v>
      </c>
      <c r="L472" s="119" t="s">
        <v>645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6"/>
        <v>400</v>
      </c>
      <c r="U472" s="137">
        <f t="shared" si="90"/>
        <v>20400</v>
      </c>
      <c r="V472" s="137">
        <v>22400</v>
      </c>
      <c r="W472" s="137">
        <f t="shared" si="91"/>
        <v>-2000</v>
      </c>
      <c r="X472" s="137">
        <f t="shared" si="87"/>
        <v>-1960.7843137254902</v>
      </c>
      <c r="Y472" s="137">
        <f t="shared" si="92"/>
        <v>-39.215686274509835</v>
      </c>
      <c r="Z472" s="137">
        <v>26121.91</v>
      </c>
      <c r="AA472" s="137">
        <f t="shared" si="88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9"/>
        <v>5729.753137254902</v>
      </c>
      <c r="AD472" s="137">
        <f t="shared" si="93"/>
        <v>25606.716739970328</v>
      </c>
      <c r="AE472" s="138">
        <v>0.1077</v>
      </c>
      <c r="AF472" s="137">
        <f t="shared" si="83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hidden="1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646</v>
      </c>
      <c r="G473" s="119" t="s">
        <v>646</v>
      </c>
      <c r="H473" s="119" t="s">
        <v>646</v>
      </c>
      <c r="I473" s="163" t="s">
        <v>202</v>
      </c>
      <c r="J473" s="119" t="s">
        <v>572</v>
      </c>
      <c r="K473" s="119" t="s">
        <v>573</v>
      </c>
      <c r="L473" s="119" t="s">
        <v>646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6"/>
        <v>28615.384000000005</v>
      </c>
      <c r="U473" s="137">
        <f t="shared" si="90"/>
        <v>600923.06400000001</v>
      </c>
      <c r="V473" s="137">
        <v>702341.62</v>
      </c>
      <c r="W473" s="137">
        <f t="shared" si="91"/>
        <v>-101418.55599999998</v>
      </c>
      <c r="X473" s="137">
        <f t="shared" si="87"/>
        <v>-96589.100952380933</v>
      </c>
      <c r="Y473" s="137">
        <f t="shared" si="92"/>
        <v>-4829.4550476190489</v>
      </c>
      <c r="Z473" s="137">
        <v>600923.06000000006</v>
      </c>
      <c r="AA473" s="137">
        <f t="shared" si="88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9"/>
        <v>28615.38380952389</v>
      </c>
      <c r="AD473" s="137">
        <f t="shared" si="93"/>
        <v>589071.26546015183</v>
      </c>
      <c r="AE473" s="138">
        <v>0.1077</v>
      </c>
      <c r="AF473" s="137">
        <f t="shared" si="83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647</v>
      </c>
      <c r="G474" s="119" t="s">
        <v>647</v>
      </c>
      <c r="H474" s="119" t="s">
        <v>647</v>
      </c>
      <c r="I474" s="163" t="s">
        <v>202</v>
      </c>
      <c r="J474" s="119" t="s">
        <v>572</v>
      </c>
      <c r="K474" s="119" t="s">
        <v>573</v>
      </c>
      <c r="L474" s="119" t="s">
        <v>647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6"/>
        <v>656.99220000000003</v>
      </c>
      <c r="U474" s="137">
        <f t="shared" si="90"/>
        <v>33506.602200000001</v>
      </c>
      <c r="V474" s="137">
        <v>35700</v>
      </c>
      <c r="W474" s="137">
        <f t="shared" si="91"/>
        <v>-2193.3977999999988</v>
      </c>
      <c r="X474" s="137">
        <f t="shared" si="87"/>
        <v>-2150.389999999999</v>
      </c>
      <c r="Y474" s="137">
        <f t="shared" si="92"/>
        <v>-43.007799999999861</v>
      </c>
      <c r="Z474" s="137">
        <v>33505.99</v>
      </c>
      <c r="AA474" s="137">
        <f t="shared" si="88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9"/>
        <v>656.98019607843162</v>
      </c>
      <c r="AD474" s="137">
        <f t="shared" si="93"/>
        <v>32845.163122538834</v>
      </c>
      <c r="AE474" s="138">
        <v>0.1077</v>
      </c>
      <c r="AF474" s="137">
        <f t="shared" si="83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648</v>
      </c>
      <c r="G475" s="119" t="s">
        <v>648</v>
      </c>
      <c r="H475" s="119" t="s">
        <v>648</v>
      </c>
      <c r="I475" s="163" t="s">
        <v>202</v>
      </c>
      <c r="J475" s="119" t="s">
        <v>572</v>
      </c>
      <c r="K475" s="119" t="s">
        <v>573</v>
      </c>
      <c r="L475" s="119" t="s">
        <v>649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6"/>
        <v>917.15920000000006</v>
      </c>
      <c r="U475" s="137">
        <f t="shared" si="90"/>
        <v>46775.119200000001</v>
      </c>
      <c r="V475" s="137">
        <v>71400</v>
      </c>
      <c r="W475" s="137">
        <f t="shared" si="91"/>
        <v>-24624.880799999999</v>
      </c>
      <c r="X475" s="137">
        <f t="shared" si="87"/>
        <v>-24142.039999999997</v>
      </c>
      <c r="Y475" s="137">
        <f t="shared" si="92"/>
        <v>-482.84080000000176</v>
      </c>
      <c r="Z475" s="137">
        <v>55167.31</v>
      </c>
      <c r="AA475" s="137">
        <f t="shared" si="88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9"/>
        <v>9306.6237254902007</v>
      </c>
      <c r="AD475" s="137">
        <f t="shared" si="93"/>
        <v>54079.264513051778</v>
      </c>
      <c r="AE475" s="138">
        <v>0.1077</v>
      </c>
      <c r="AF475" s="137">
        <f t="shared" si="83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516</v>
      </c>
      <c r="G476" s="119" t="s">
        <v>517</v>
      </c>
      <c r="H476" s="131" t="s">
        <v>518</v>
      </c>
      <c r="I476" s="163" t="s">
        <v>202</v>
      </c>
      <c r="J476" s="119" t="s">
        <v>203</v>
      </c>
      <c r="K476" s="119" t="s">
        <v>204</v>
      </c>
      <c r="L476" s="119" t="s">
        <v>650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6"/>
        <v>13000</v>
      </c>
      <c r="U476" s="137">
        <f t="shared" si="90"/>
        <v>663000</v>
      </c>
      <c r="V476" s="137">
        <v>1241936</v>
      </c>
      <c r="W476" s="137">
        <f t="shared" si="91"/>
        <v>-578936</v>
      </c>
      <c r="X476" s="137">
        <f t="shared" si="87"/>
        <v>-567584.31372549024</v>
      </c>
      <c r="Y476" s="137">
        <f t="shared" si="92"/>
        <v>-11351.686274509761</v>
      </c>
      <c r="Z476" s="137">
        <v>1050319.04</v>
      </c>
      <c r="AA476" s="137">
        <f t="shared" si="88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9"/>
        <v>20594.490980392206</v>
      </c>
      <c r="AD476" s="137">
        <v>1050319.04</v>
      </c>
      <c r="AE476" s="138">
        <v>7.0000000000000007E-2</v>
      </c>
      <c r="AF476" s="137">
        <f t="shared" si="83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hidden="1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544</v>
      </c>
      <c r="G477" s="119" t="s">
        <v>545</v>
      </c>
      <c r="H477" s="163" t="s">
        <v>546</v>
      </c>
      <c r="I477" s="163" t="s">
        <v>202</v>
      </c>
      <c r="J477" s="119" t="s">
        <v>203</v>
      </c>
      <c r="K477" s="119" t="s">
        <v>204</v>
      </c>
      <c r="L477" s="119" t="s">
        <v>544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6"/>
        <v>12287.270200000001</v>
      </c>
      <c r="U477" s="137">
        <f t="shared" si="90"/>
        <v>626650.78020000004</v>
      </c>
      <c r="V477" s="137">
        <v>626650.78</v>
      </c>
      <c r="W477" s="137">
        <f t="shared" si="91"/>
        <v>2.0000000949949026E-4</v>
      </c>
      <c r="X477" s="137">
        <f t="shared" si="87"/>
        <v>1.9607844068577477E-4</v>
      </c>
      <c r="Y477" s="137">
        <f t="shared" si="92"/>
        <v>3.9215688137154948E-6</v>
      </c>
      <c r="Z477" s="137">
        <v>452484.28</v>
      </c>
      <c r="AA477" s="137">
        <f t="shared" si="88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9"/>
        <v>8872.2407843137626</v>
      </c>
      <c r="AD477" s="137">
        <v>452484.28</v>
      </c>
      <c r="AE477" s="138">
        <v>7.0000000000000007E-2</v>
      </c>
      <c r="AF477" s="137">
        <f t="shared" si="83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hidden="1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621</v>
      </c>
      <c r="G478" s="119" t="s">
        <v>621</v>
      </c>
      <c r="H478" s="119" t="s">
        <v>621</v>
      </c>
      <c r="I478" s="163" t="s">
        <v>202</v>
      </c>
      <c r="J478" s="119" t="s">
        <v>572</v>
      </c>
      <c r="K478" s="119" t="s">
        <v>573</v>
      </c>
      <c r="L478" s="119" t="s">
        <v>651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6"/>
        <v>40894.882000000005</v>
      </c>
      <c r="U478" s="137">
        <f t="shared" si="90"/>
        <v>245369.29200000002</v>
      </c>
      <c r="V478" s="137">
        <v>0</v>
      </c>
      <c r="W478" s="137">
        <f t="shared" si="91"/>
        <v>245369.29200000002</v>
      </c>
      <c r="X478" s="137">
        <f t="shared" si="87"/>
        <v>204474.41000000003</v>
      </c>
      <c r="Y478" s="137">
        <f t="shared" si="92"/>
        <v>40894.881999999983</v>
      </c>
      <c r="Z478" s="137">
        <v>261113.62</v>
      </c>
      <c r="AA478" s="137">
        <f t="shared" si="88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9"/>
        <v>43518.936666666646</v>
      </c>
      <c r="AD478" s="137">
        <f t="shared" ref="AD478:AD489" si="94">Z478*0.980277351080772</f>
        <v>255963.76774471128</v>
      </c>
      <c r="AE478" s="138">
        <v>0.31559999999999999</v>
      </c>
      <c r="AF478" s="137">
        <f t="shared" si="83"/>
        <v>80782.165100230879</v>
      </c>
      <c r="AG478" s="137">
        <v>35416.921805333302</v>
      </c>
      <c r="AH478" s="154"/>
      <c r="AI478" s="154"/>
      <c r="AJ478" s="135" t="s">
        <v>640</v>
      </c>
      <c r="AK478" s="119" t="s">
        <v>640</v>
      </c>
      <c r="AM478" s="131"/>
    </row>
    <row r="479" spans="1:39" s="119" customFormat="1" ht="15" hidden="1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621</v>
      </c>
      <c r="G479" s="119" t="s">
        <v>621</v>
      </c>
      <c r="H479" s="119" t="s">
        <v>621</v>
      </c>
      <c r="I479" s="163" t="s">
        <v>202</v>
      </c>
      <c r="J479" s="119" t="s">
        <v>572</v>
      </c>
      <c r="K479" s="119" t="s">
        <v>573</v>
      </c>
      <c r="L479" s="119" t="s">
        <v>651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6"/>
        <v>309878.23370000004</v>
      </c>
      <c r="U479" s="137">
        <f t="shared" si="90"/>
        <v>4736710.1436999999</v>
      </c>
      <c r="V479" s="137">
        <v>5279164.41</v>
      </c>
      <c r="W479" s="137">
        <f t="shared" si="91"/>
        <v>-542454.26630000025</v>
      </c>
      <c r="X479" s="137">
        <f t="shared" si="87"/>
        <v>-506966.60401869181</v>
      </c>
      <c r="Y479" s="137">
        <f t="shared" si="92"/>
        <v>-35487.66228130844</v>
      </c>
      <c r="Z479" s="137">
        <v>4741417.71</v>
      </c>
      <c r="AA479" s="137">
        <f t="shared" si="88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9"/>
        <v>310186.20532710291</v>
      </c>
      <c r="AD479" s="137">
        <f t="shared" si="94"/>
        <v>4647904.3931262596</v>
      </c>
      <c r="AE479" s="138">
        <v>0.1077</v>
      </c>
      <c r="AF479" s="137">
        <f t="shared" si="83"/>
        <v>500579.30313969817</v>
      </c>
      <c r="AG479" s="137">
        <v>199355.17203989701</v>
      </c>
      <c r="AH479" s="154"/>
      <c r="AI479" s="154"/>
      <c r="AJ479" s="135" t="s">
        <v>506</v>
      </c>
      <c r="AK479" s="119" t="s">
        <v>506</v>
      </c>
      <c r="AM479" s="131"/>
    </row>
    <row r="480" spans="1:39" s="119" customFormat="1" ht="15" hidden="1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652</v>
      </c>
      <c r="G480" s="119" t="s">
        <v>652</v>
      </c>
      <c r="H480" s="119" t="s">
        <v>652</v>
      </c>
      <c r="I480" s="163" t="s">
        <v>202</v>
      </c>
      <c r="J480" s="119" t="s">
        <v>572</v>
      </c>
      <c r="K480" s="119" t="s">
        <v>573</v>
      </c>
      <c r="L480" s="119" t="s">
        <v>652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6"/>
        <v>175965.99460000001</v>
      </c>
      <c r="U480" s="137">
        <f t="shared" si="90"/>
        <v>8974265.7246000003</v>
      </c>
      <c r="V480" s="137">
        <v>9563000</v>
      </c>
      <c r="W480" s="137">
        <f t="shared" si="91"/>
        <v>-588734.27539999969</v>
      </c>
      <c r="X480" s="137">
        <f t="shared" si="87"/>
        <v>-577190.46607843111</v>
      </c>
      <c r="Y480" s="137">
        <f t="shared" si="92"/>
        <v>-11543.80932156858</v>
      </c>
      <c r="Z480" s="137">
        <v>9463497.2100000009</v>
      </c>
      <c r="AA480" s="137">
        <f t="shared" si="88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9"/>
        <v>665199.93549019657</v>
      </c>
      <c r="AD480" s="137">
        <f t="shared" si="94"/>
        <v>9276851.9769790769</v>
      </c>
      <c r="AE480" s="138">
        <v>0.1077</v>
      </c>
      <c r="AF480" s="137">
        <f t="shared" si="83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608</v>
      </c>
      <c r="AM480" s="131"/>
    </row>
    <row r="481" spans="1:39" s="119" customFormat="1" ht="15" hidden="1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652</v>
      </c>
      <c r="G481" s="119" t="s">
        <v>652</v>
      </c>
      <c r="H481" s="119" t="s">
        <v>652</v>
      </c>
      <c r="I481" s="163" t="s">
        <v>202</v>
      </c>
      <c r="J481" s="119" t="s">
        <v>572</v>
      </c>
      <c r="K481" s="119" t="s">
        <v>573</v>
      </c>
      <c r="L481" s="119" t="s">
        <v>652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6"/>
        <v>33878.098400000003</v>
      </c>
      <c r="U481" s="137">
        <f t="shared" si="90"/>
        <v>457354.3284</v>
      </c>
      <c r="V481" s="137">
        <v>0</v>
      </c>
      <c r="W481" s="137">
        <f t="shared" si="91"/>
        <v>457354.3284</v>
      </c>
      <c r="X481" s="137">
        <f t="shared" si="87"/>
        <v>423476.23</v>
      </c>
      <c r="Y481" s="137">
        <f t="shared" si="92"/>
        <v>33878.098400000017</v>
      </c>
      <c r="Z481" s="137">
        <v>617363.17000000004</v>
      </c>
      <c r="AA481" s="137">
        <f t="shared" si="88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9"/>
        <v>216635.35407407413</v>
      </c>
      <c r="AD481" s="137">
        <f t="shared" si="94"/>
        <v>605187.13294242835</v>
      </c>
      <c r="AE481" s="138">
        <v>0.31559999999999999</v>
      </c>
      <c r="AF481" s="137">
        <f t="shared" si="83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hidden="1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653</v>
      </c>
      <c r="G482" s="119" t="s">
        <v>654</v>
      </c>
      <c r="H482" s="119" t="s">
        <v>655</v>
      </c>
      <c r="I482" s="163" t="s">
        <v>202</v>
      </c>
      <c r="J482" s="119" t="s">
        <v>572</v>
      </c>
      <c r="K482" s="119" t="s">
        <v>573</v>
      </c>
      <c r="L482" s="119" t="s">
        <v>653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6"/>
        <v>64000</v>
      </c>
      <c r="U482" s="137">
        <f t="shared" si="90"/>
        <v>3264000</v>
      </c>
      <c r="V482" s="137">
        <v>3250000</v>
      </c>
      <c r="W482" s="137">
        <f t="shared" si="91"/>
        <v>14000</v>
      </c>
      <c r="X482" s="137">
        <f t="shared" si="87"/>
        <v>13725.490196078432</v>
      </c>
      <c r="Y482" s="137">
        <f t="shared" si="92"/>
        <v>274.50980392156816</v>
      </c>
      <c r="Z482" s="137">
        <v>3247091.48</v>
      </c>
      <c r="AA482" s="137">
        <f t="shared" si="88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9"/>
        <v>200904.10352941183</v>
      </c>
      <c r="AD482" s="137">
        <f t="shared" si="94"/>
        <v>3183050.2347313436</v>
      </c>
      <c r="AE482" s="138">
        <v>0.1077</v>
      </c>
      <c r="AF482" s="137">
        <f t="shared" si="83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hidden="1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119" t="s">
        <v>653</v>
      </c>
      <c r="G483" s="119" t="s">
        <v>654</v>
      </c>
      <c r="H483" s="119" t="s">
        <v>655</v>
      </c>
      <c r="I483" s="163" t="s">
        <v>202</v>
      </c>
      <c r="J483" s="119" t="s">
        <v>572</v>
      </c>
      <c r="K483" s="119" t="s">
        <v>573</v>
      </c>
      <c r="L483" s="119" t="s">
        <v>653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6"/>
        <v>0</v>
      </c>
      <c r="U483" s="137">
        <f t="shared" si="90"/>
        <v>550000</v>
      </c>
      <c r="V483" s="137">
        <v>550000</v>
      </c>
      <c r="W483" s="137">
        <f t="shared" si="91"/>
        <v>0</v>
      </c>
      <c r="X483" s="137">
        <f t="shared" si="87"/>
        <v>0</v>
      </c>
      <c r="Y483" s="137">
        <f t="shared" si="92"/>
        <v>0</v>
      </c>
      <c r="Z483" s="137">
        <v>550000</v>
      </c>
      <c r="AA483" s="137">
        <f t="shared" si="88"/>
        <v>0</v>
      </c>
      <c r="AB483" s="146">
        <f>IF(O483="返货",Z483/(1+N483),IF(O483="返现",Z483,IF(O483="折扣",Z483*N483,IF(O483="无",Z483))))</f>
        <v>550000</v>
      </c>
      <c r="AC483" s="147">
        <f t="shared" si="89"/>
        <v>0</v>
      </c>
      <c r="AD483" s="137">
        <f t="shared" si="94"/>
        <v>539152.54309442453</v>
      </c>
      <c r="AE483" s="138">
        <v>0.1077</v>
      </c>
      <c r="AF483" s="137">
        <f t="shared" si="83"/>
        <v>58066.728891269522</v>
      </c>
      <c r="AG483" s="137">
        <v>59235</v>
      </c>
      <c r="AH483" s="154"/>
      <c r="AI483" s="154"/>
      <c r="AJ483" s="135" t="s">
        <v>643</v>
      </c>
      <c r="AK483" s="119" t="s">
        <v>643</v>
      </c>
      <c r="AM483" s="131"/>
    </row>
    <row r="484" spans="1:39" s="119" customFormat="1" ht="15" hidden="1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656</v>
      </c>
      <c r="G484" s="119" t="s">
        <v>656</v>
      </c>
      <c r="H484" s="119" t="s">
        <v>656</v>
      </c>
      <c r="I484" s="163" t="s">
        <v>202</v>
      </c>
      <c r="J484" s="119" t="s">
        <v>572</v>
      </c>
      <c r="K484" s="119" t="s">
        <v>573</v>
      </c>
      <c r="L484" s="119" t="s">
        <v>657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6"/>
        <v>1400</v>
      </c>
      <c r="U484" s="137">
        <f t="shared" si="90"/>
        <v>71400</v>
      </c>
      <c r="V484" s="137">
        <v>0</v>
      </c>
      <c r="W484" s="137">
        <f t="shared" si="91"/>
        <v>71400</v>
      </c>
      <c r="X484" s="137">
        <f t="shared" si="87"/>
        <v>70000</v>
      </c>
      <c r="Y484" s="137">
        <f t="shared" si="92"/>
        <v>1400</v>
      </c>
      <c r="Z484" s="137">
        <v>0</v>
      </c>
      <c r="AA484" s="137">
        <f t="shared" si="88"/>
        <v>0</v>
      </c>
      <c r="AB484" s="146">
        <f>IF(O484="返货",Z484/(1+N484),IF(O484="返现",Z484,IF(O484="折扣",Z484*N484,IF(O484="无",Z484))))</f>
        <v>0</v>
      </c>
      <c r="AC484" s="147">
        <f t="shared" si="89"/>
        <v>0</v>
      </c>
      <c r="AD484" s="137">
        <f t="shared" si="94"/>
        <v>0</v>
      </c>
      <c r="AE484" s="138">
        <v>0.1077</v>
      </c>
      <c r="AF484" s="137">
        <f t="shared" si="83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hidden="1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572</v>
      </c>
      <c r="K485" s="119" t="s">
        <v>573</v>
      </c>
      <c r="L485" s="119" t="s">
        <v>658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6"/>
        <v>37464.673499999997</v>
      </c>
      <c r="U485" s="137">
        <f t="shared" si="90"/>
        <v>287229.16349999997</v>
      </c>
      <c r="V485" s="137">
        <v>0</v>
      </c>
      <c r="W485" s="137">
        <f t="shared" si="91"/>
        <v>287229.16349999997</v>
      </c>
      <c r="X485" s="137">
        <f t="shared" si="87"/>
        <v>249764.49</v>
      </c>
      <c r="Y485" s="137">
        <f t="shared" si="92"/>
        <v>37464.673499999975</v>
      </c>
      <c r="Z485" s="137">
        <v>249764.49</v>
      </c>
      <c r="AA485" s="137">
        <f t="shared" si="88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9"/>
        <v>32577.976956521714</v>
      </c>
      <c r="AD485" s="137">
        <f t="shared" si="94"/>
        <v>244838.47265123995</v>
      </c>
      <c r="AE485" s="138">
        <v>0.31559999999999999</v>
      </c>
      <c r="AF485" s="137">
        <f t="shared" si="83"/>
        <v>77271.021968731322</v>
      </c>
      <c r="AG485" s="137">
        <v>46247.696087478304</v>
      </c>
      <c r="AH485" s="154"/>
      <c r="AI485" s="154"/>
      <c r="AJ485" s="135" t="s">
        <v>659</v>
      </c>
      <c r="AK485" s="119" t="s">
        <v>659</v>
      </c>
      <c r="AM485" s="131"/>
    </row>
    <row r="486" spans="1:39" s="119" customFormat="1" ht="15" hidden="1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572</v>
      </c>
      <c r="K486" s="119" t="s">
        <v>573</v>
      </c>
      <c r="L486" s="119" t="s">
        <v>658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6"/>
        <v>173754.74950000003</v>
      </c>
      <c r="U486" s="137">
        <f t="shared" si="90"/>
        <v>3648849.7395000001</v>
      </c>
      <c r="V486" s="137">
        <v>3952543.24</v>
      </c>
      <c r="W486" s="137">
        <f t="shared" si="91"/>
        <v>-303693.50050000008</v>
      </c>
      <c r="X486" s="137">
        <f t="shared" si="87"/>
        <v>-289231.90523809532</v>
      </c>
      <c r="Y486" s="137">
        <f t="shared" si="92"/>
        <v>-14461.59526190476</v>
      </c>
      <c r="Z486" s="137">
        <v>3628585.71</v>
      </c>
      <c r="AA486" s="137">
        <f t="shared" si="88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9"/>
        <v>172789.79571428569</v>
      </c>
      <c r="AD486" s="137">
        <f t="shared" si="94"/>
        <v>3557020.3879683423</v>
      </c>
      <c r="AE486" s="138">
        <v>0.1077</v>
      </c>
      <c r="AF486" s="137">
        <f t="shared" si="83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hidden="1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660</v>
      </c>
      <c r="G487" s="119" t="s">
        <v>660</v>
      </c>
      <c r="H487" s="119" t="s">
        <v>660</v>
      </c>
      <c r="I487" s="163" t="s">
        <v>202</v>
      </c>
      <c r="J487" s="119" t="s">
        <v>572</v>
      </c>
      <c r="K487" s="119" t="s">
        <v>573</v>
      </c>
      <c r="L487" s="119" t="s">
        <v>661</v>
      </c>
      <c r="M487" s="119" t="s">
        <v>183</v>
      </c>
      <c r="N487" s="136">
        <v>0.15</v>
      </c>
      <c r="O487" s="135" t="s">
        <v>492</v>
      </c>
      <c r="P487" s="135"/>
      <c r="Q487" s="137">
        <v>37586</v>
      </c>
      <c r="R487" s="137">
        <v>0</v>
      </c>
      <c r="S487" s="137">
        <v>583881.76</v>
      </c>
      <c r="T487" s="137">
        <f t="shared" si="86"/>
        <v>87582.263999999996</v>
      </c>
      <c r="U487" s="137">
        <f t="shared" si="90"/>
        <v>671464.02399999998</v>
      </c>
      <c r="V487" s="137">
        <v>0</v>
      </c>
      <c r="W487" s="137">
        <f t="shared" si="91"/>
        <v>671464.02399999998</v>
      </c>
      <c r="X487" s="137">
        <f t="shared" si="87"/>
        <v>583881.76</v>
      </c>
      <c r="Y487" s="137">
        <f t="shared" si="92"/>
        <v>87582.263999999966</v>
      </c>
      <c r="Z487" s="137">
        <v>583881.76</v>
      </c>
      <c r="AA487" s="137">
        <f t="shared" si="88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9"/>
        <v>87582.263999999996</v>
      </c>
      <c r="AD487" s="137">
        <f t="shared" si="94"/>
        <v>572366.06503717904</v>
      </c>
      <c r="AE487" s="138">
        <v>0.31559999999999999</v>
      </c>
      <c r="AF487" s="137">
        <f t="shared" si="83"/>
        <v>180638.73012573371</v>
      </c>
      <c r="AG487" s="137">
        <v>108114.59302121701</v>
      </c>
      <c r="AH487" s="154"/>
      <c r="AI487" s="154"/>
      <c r="AJ487" s="135" t="s">
        <v>659</v>
      </c>
      <c r="AK487" s="119" t="s">
        <v>659</v>
      </c>
      <c r="AL487" s="119" t="s">
        <v>586</v>
      </c>
      <c r="AM487" s="131"/>
    </row>
    <row r="488" spans="1:39" s="119" customFormat="1" ht="15" hidden="1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660</v>
      </c>
      <c r="G488" s="119" t="s">
        <v>660</v>
      </c>
      <c r="H488" s="119" t="s">
        <v>660</v>
      </c>
      <c r="I488" s="163" t="s">
        <v>202</v>
      </c>
      <c r="J488" s="119" t="s">
        <v>572</v>
      </c>
      <c r="K488" s="119" t="s">
        <v>573</v>
      </c>
      <c r="L488" s="119" t="s">
        <v>661</v>
      </c>
      <c r="M488" s="119" t="s">
        <v>45</v>
      </c>
      <c r="N488" s="136">
        <v>0.05</v>
      </c>
      <c r="O488" s="135" t="s">
        <v>492</v>
      </c>
      <c r="P488" s="135" t="s">
        <v>662</v>
      </c>
      <c r="Q488" s="137">
        <v>0</v>
      </c>
      <c r="R488" s="137">
        <v>0</v>
      </c>
      <c r="S488" s="137">
        <v>2937534.9</v>
      </c>
      <c r="T488" s="137">
        <f t="shared" si="86"/>
        <v>146876.745</v>
      </c>
      <c r="U488" s="137">
        <f t="shared" si="90"/>
        <v>3084411.645</v>
      </c>
      <c r="V488" s="137">
        <v>3324784</v>
      </c>
      <c r="W488" s="137">
        <f t="shared" si="91"/>
        <v>-240372.35499999998</v>
      </c>
      <c r="X488" s="137">
        <f t="shared" si="87"/>
        <v>-228926.05238095234</v>
      </c>
      <c r="Y488" s="137">
        <f t="shared" si="92"/>
        <v>-11446.302619047638</v>
      </c>
      <c r="Z488" s="137">
        <f>2927734.9-Z1173</f>
        <v>2767234.9</v>
      </c>
      <c r="AA488" s="137">
        <f t="shared" si="88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9"/>
        <v>138361.745</v>
      </c>
      <c r="AD488" s="137">
        <f t="shared" si="94"/>
        <v>2712657.697590265</v>
      </c>
      <c r="AE488" s="138">
        <v>0.1077</v>
      </c>
      <c r="AF488" s="137">
        <f t="shared" si="83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hidden="1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119" t="s">
        <v>660</v>
      </c>
      <c r="G489" s="119" t="s">
        <v>660</v>
      </c>
      <c r="H489" s="119" t="s">
        <v>660</v>
      </c>
      <c r="I489" s="163" t="s">
        <v>202</v>
      </c>
      <c r="J489" s="119" t="s">
        <v>572</v>
      </c>
      <c r="K489" s="119" t="s">
        <v>573</v>
      </c>
      <c r="L489" s="119" t="s">
        <v>661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6"/>
        <v>0</v>
      </c>
      <c r="U489" s="137">
        <f t="shared" si="90"/>
        <v>530000</v>
      </c>
      <c r="V489" s="137">
        <v>550000</v>
      </c>
      <c r="W489" s="137">
        <f t="shared" si="91"/>
        <v>-20000</v>
      </c>
      <c r="X489" s="137">
        <f t="shared" si="87"/>
        <v>-20000</v>
      </c>
      <c r="Y489" s="137">
        <f t="shared" si="92"/>
        <v>0</v>
      </c>
      <c r="Z489" s="137">
        <v>550000</v>
      </c>
      <c r="AA489" s="137">
        <f t="shared" si="88"/>
        <v>0</v>
      </c>
      <c r="AB489" s="146">
        <f>IF(O489="返货",Z489/(1+N489),IF(O489="返现",Z489,IF(O489="折扣",Z489*N489,IF(O489="无",Z489))))</f>
        <v>550000</v>
      </c>
      <c r="AC489" s="147">
        <f t="shared" si="89"/>
        <v>0</v>
      </c>
      <c r="AD489" s="137">
        <f t="shared" si="94"/>
        <v>539152.54309442453</v>
      </c>
      <c r="AE489" s="138">
        <v>0.1077</v>
      </c>
      <c r="AF489" s="137">
        <f t="shared" si="83"/>
        <v>58066.728891269522</v>
      </c>
      <c r="AG489" s="137">
        <v>59235</v>
      </c>
      <c r="AH489" s="154"/>
      <c r="AI489" s="154"/>
      <c r="AJ489" s="135" t="s">
        <v>643</v>
      </c>
      <c r="AK489" s="119" t="s">
        <v>643</v>
      </c>
      <c r="AM489" s="131"/>
    </row>
    <row r="490" spans="1:39" s="119" customFormat="1" ht="15" hidden="1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6"/>
        <v>7200</v>
      </c>
      <c r="U490" s="137">
        <f t="shared" si="90"/>
        <v>367200</v>
      </c>
      <c r="V490" s="137">
        <v>310000</v>
      </c>
      <c r="W490" s="137">
        <f t="shared" si="91"/>
        <v>57200</v>
      </c>
      <c r="X490" s="137">
        <f t="shared" si="87"/>
        <v>56078.431372549021</v>
      </c>
      <c r="Y490" s="137">
        <f t="shared" si="92"/>
        <v>1121.568627450979</v>
      </c>
      <c r="Z490" s="137">
        <v>276959.12</v>
      </c>
      <c r="AA490" s="137">
        <f t="shared" si="88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9"/>
        <v>5430.5709803921636</v>
      </c>
      <c r="AD490" s="137">
        <v>276959.12</v>
      </c>
      <c r="AE490" s="138">
        <v>7.0000000000000007E-2</v>
      </c>
      <c r="AF490" s="137">
        <f t="shared" si="83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119" t="s">
        <v>77</v>
      </c>
      <c r="G491" s="119" t="s">
        <v>77</v>
      </c>
      <c r="H491" s="119" t="s">
        <v>77</v>
      </c>
      <c r="I491" s="163" t="s">
        <v>202</v>
      </c>
      <c r="J491" s="119" t="s">
        <v>572</v>
      </c>
      <c r="K491" s="119" t="s">
        <v>573</v>
      </c>
      <c r="L491" s="119" t="s">
        <v>78</v>
      </c>
      <c r="M491" s="119" t="s">
        <v>158</v>
      </c>
      <c r="N491" s="136">
        <v>0</v>
      </c>
      <c r="O491" s="135" t="s">
        <v>50</v>
      </c>
      <c r="P491" s="135" t="s">
        <v>1673</v>
      </c>
      <c r="Q491" s="137">
        <v>0</v>
      </c>
      <c r="R491" s="137">
        <v>0</v>
      </c>
      <c r="S491" s="137">
        <v>50000</v>
      </c>
      <c r="T491" s="137">
        <f t="shared" si="86"/>
        <v>0</v>
      </c>
      <c r="U491" s="137">
        <f t="shared" si="90"/>
        <v>50000</v>
      </c>
      <c r="V491" s="137">
        <v>50000</v>
      </c>
      <c r="W491" s="137">
        <f t="shared" si="91"/>
        <v>0</v>
      </c>
      <c r="X491" s="137">
        <f t="shared" si="87"/>
        <v>0</v>
      </c>
      <c r="Y491" s="137">
        <f t="shared" si="92"/>
        <v>0</v>
      </c>
      <c r="Z491" s="137">
        <v>50000</v>
      </c>
      <c r="AA491" s="137">
        <f t="shared" si="88"/>
        <v>0</v>
      </c>
      <c r="AB491" s="146">
        <f>IF(O491="返货",Z491/(1+N491),IF(O491="返现",Z491,IF(O491="折扣",Z491*N491,IF(O491="无",Z491))))</f>
        <v>50000</v>
      </c>
      <c r="AC491" s="147">
        <f t="shared" si="89"/>
        <v>0</v>
      </c>
      <c r="AD491" s="137">
        <f>Z491*0.980277351080772</f>
        <v>49013.867554038596</v>
      </c>
      <c r="AE491" s="138">
        <v>0.1077</v>
      </c>
      <c r="AF491" s="137">
        <f t="shared" si="83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hidden="1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572</v>
      </c>
      <c r="K492" s="119" t="s">
        <v>573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 t="s">
        <v>1673</v>
      </c>
      <c r="Q492" s="137">
        <v>59961.45</v>
      </c>
      <c r="R492" s="137">
        <v>0</v>
      </c>
      <c r="S492" s="137">
        <v>827563.72</v>
      </c>
      <c r="T492" s="137">
        <f t="shared" si="86"/>
        <v>16551.274399999998</v>
      </c>
      <c r="U492" s="137">
        <f t="shared" si="90"/>
        <v>844114.99439999997</v>
      </c>
      <c r="V492" s="137">
        <v>978036.35</v>
      </c>
      <c r="W492" s="137">
        <f t="shared" si="91"/>
        <v>-133921.35560000001</v>
      </c>
      <c r="X492" s="137">
        <f t="shared" si="87"/>
        <v>-131295.44666666668</v>
      </c>
      <c r="Y492" s="137">
        <f t="shared" si="92"/>
        <v>-2625.908933333325</v>
      </c>
      <c r="Z492" s="137">
        <v>904120.02</v>
      </c>
      <c r="AA492" s="137">
        <f t="shared" si="88"/>
        <v>133877.77999999991</v>
      </c>
      <c r="AB492" s="146">
        <f>IF(O492="返货",(Z492-Q492)/(1+N492),IF(O492="返现",(Z492-Q492),IF(O492="折扣",(Z492-Q492)*N492,IF(O492="无",(Z492-Q492)))))+42.72</f>
        <v>827649.16117647057</v>
      </c>
      <c r="AC492" s="147">
        <f t="shared" si="89"/>
        <v>76470.858823529445</v>
      </c>
      <c r="AD492" s="137">
        <f>Z492*0.980277351080772</f>
        <v>886288.37826469459</v>
      </c>
      <c r="AE492" s="138">
        <v>0.1077</v>
      </c>
      <c r="AF492" s="137">
        <f t="shared" si="83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608</v>
      </c>
      <c r="AM492" s="131"/>
    </row>
    <row r="493" spans="1:39" s="119" customFormat="1" ht="15" hidden="1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572</v>
      </c>
      <c r="K493" s="119" t="s">
        <v>573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6"/>
        <v>9920.0352000000003</v>
      </c>
      <c r="U493" s="137">
        <f t="shared" si="90"/>
        <v>133920.47520000002</v>
      </c>
      <c r="V493" s="137">
        <v>0</v>
      </c>
      <c r="W493" s="137">
        <f t="shared" si="91"/>
        <v>133920.47520000002</v>
      </c>
      <c r="X493" s="137">
        <f t="shared" si="87"/>
        <v>124000.44</v>
      </c>
      <c r="Y493" s="137">
        <f t="shared" si="92"/>
        <v>9920.035200000013</v>
      </c>
      <c r="Z493" s="137">
        <v>197132.78</v>
      </c>
      <c r="AA493" s="137">
        <f t="shared" si="88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9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3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647</v>
      </c>
      <c r="G494" s="119" t="s">
        <v>647</v>
      </c>
      <c r="H494" s="119" t="s">
        <v>647</v>
      </c>
      <c r="I494" s="163" t="s">
        <v>202</v>
      </c>
      <c r="J494" s="119" t="s">
        <v>572</v>
      </c>
      <c r="K494" s="119" t="s">
        <v>573</v>
      </c>
      <c r="L494" s="119" t="s">
        <v>647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6"/>
        <v>86.015599999999992</v>
      </c>
      <c r="U494" s="137">
        <f t="shared" si="90"/>
        <v>2236.4056</v>
      </c>
      <c r="V494" s="137">
        <v>0</v>
      </c>
      <c r="W494" s="137">
        <f t="shared" si="91"/>
        <v>2236.4056</v>
      </c>
      <c r="X494" s="137">
        <f t="shared" si="87"/>
        <v>2150.39</v>
      </c>
      <c r="Y494" s="137">
        <f t="shared" si="92"/>
        <v>86.015600000000177</v>
      </c>
      <c r="Z494" s="137">
        <v>2194.0100000000002</v>
      </c>
      <c r="AA494" s="137">
        <f t="shared" si="88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9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3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663</v>
      </c>
      <c r="G495" s="119" t="s">
        <v>664</v>
      </c>
      <c r="H495" s="119" t="s">
        <v>665</v>
      </c>
      <c r="I495" s="163" t="s">
        <v>202</v>
      </c>
      <c r="J495" s="119" t="s">
        <v>572</v>
      </c>
      <c r="K495" s="119" t="s">
        <v>573</v>
      </c>
      <c r="L495" s="119" t="s">
        <v>663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6"/>
        <v>409242.48619999998</v>
      </c>
      <c r="U495" s="137">
        <f t="shared" si="90"/>
        <v>20871366.7962</v>
      </c>
      <c r="V495" s="137">
        <v>27939064.969999999</v>
      </c>
      <c r="W495" s="137">
        <f t="shared" si="91"/>
        <v>-7067698.1737999991</v>
      </c>
      <c r="X495" s="137">
        <f t="shared" si="87"/>
        <v>-6929115.8566666655</v>
      </c>
      <c r="Y495" s="137">
        <f t="shared" si="92"/>
        <v>-138582.31713333353</v>
      </c>
      <c r="Z495" s="137">
        <v>21083620.440000001</v>
      </c>
      <c r="AA495" s="137">
        <f t="shared" si="88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9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5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608</v>
      </c>
      <c r="AM495" s="131"/>
    </row>
    <row r="496" spans="1:39" s="119" customFormat="1" ht="15" hidden="1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666</v>
      </c>
      <c r="G496" s="119" t="s">
        <v>666</v>
      </c>
      <c r="H496" s="119" t="s">
        <v>666</v>
      </c>
      <c r="I496" s="163" t="s">
        <v>202</v>
      </c>
      <c r="J496" s="119" t="s">
        <v>621</v>
      </c>
      <c r="K496" s="119" t="s">
        <v>622</v>
      </c>
      <c r="L496" s="119" t="s">
        <v>666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6"/>
        <v>3000</v>
      </c>
      <c r="U496" s="137">
        <f t="shared" si="90"/>
        <v>103000</v>
      </c>
      <c r="V496" s="137">
        <v>103000</v>
      </c>
      <c r="W496" s="137">
        <f t="shared" si="91"/>
        <v>0</v>
      </c>
      <c r="X496" s="137">
        <f t="shared" si="87"/>
        <v>0</v>
      </c>
      <c r="Y496" s="137">
        <f t="shared" si="92"/>
        <v>0</v>
      </c>
      <c r="Z496" s="137">
        <v>59277.919999999998</v>
      </c>
      <c r="AA496" s="137">
        <f t="shared" si="88"/>
        <v>43722.080000000002</v>
      </c>
      <c r="AB496" s="146">
        <f t="shared" ref="AB496:AB504" si="96">IF(O496="返货",Z496/(1+N496),IF(O496="返现",Z496,IF(O496="折扣",Z496*N496,IF(O496="无",Z496))))</f>
        <v>57551.378640776697</v>
      </c>
      <c r="AC496" s="147">
        <f t="shared" si="89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5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hidden="1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667</v>
      </c>
      <c r="G497" s="119" t="s">
        <v>667</v>
      </c>
      <c r="H497" s="119" t="s">
        <v>667</v>
      </c>
      <c r="I497" s="163" t="s">
        <v>202</v>
      </c>
      <c r="J497" s="119" t="s">
        <v>572</v>
      </c>
      <c r="K497" s="119" t="s">
        <v>573</v>
      </c>
      <c r="L497" s="119" t="s">
        <v>667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6"/>
        <v>2.6440000000000201</v>
      </c>
      <c r="U497" s="137">
        <f t="shared" si="90"/>
        <v>134.84400000000105</v>
      </c>
      <c r="V497" s="137">
        <v>10000</v>
      </c>
      <c r="W497" s="137">
        <f t="shared" si="91"/>
        <v>-9865.155999999999</v>
      </c>
      <c r="X497" s="137">
        <f t="shared" si="87"/>
        <v>-9671.7215686274503</v>
      </c>
      <c r="Y497" s="137">
        <f t="shared" si="92"/>
        <v>-193.43443137254872</v>
      </c>
      <c r="Z497" s="137">
        <v>132.19999999999999</v>
      </c>
      <c r="AA497" s="137">
        <f t="shared" si="88"/>
        <v>9867.7999999999993</v>
      </c>
      <c r="AB497" s="146">
        <f t="shared" si="96"/>
        <v>129.60784313725489</v>
      </c>
      <c r="AC497" s="147">
        <f t="shared" si="89"/>
        <v>2.5921568627450995</v>
      </c>
      <c r="AD497" s="137">
        <f t="shared" ref="AD497:AD528" si="97">Z497*0.980277351080772</f>
        <v>129.59266581287804</v>
      </c>
      <c r="AE497" s="138">
        <v>0.1077</v>
      </c>
      <c r="AF497" s="137">
        <f t="shared" si="95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hidden="1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667</v>
      </c>
      <c r="G498" s="119" t="s">
        <v>667</v>
      </c>
      <c r="H498" s="119" t="s">
        <v>667</v>
      </c>
      <c r="I498" s="163" t="s">
        <v>202</v>
      </c>
      <c r="J498" s="119" t="s">
        <v>572</v>
      </c>
      <c r="K498" s="119" t="s">
        <v>573</v>
      </c>
      <c r="L498" s="119" t="s">
        <v>667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6"/>
        <v>49.800800000000002</v>
      </c>
      <c r="U498" s="137">
        <f t="shared" si="90"/>
        <v>672.31079999999997</v>
      </c>
      <c r="V498" s="137">
        <v>0</v>
      </c>
      <c r="W498" s="137">
        <f t="shared" si="91"/>
        <v>672.31079999999997</v>
      </c>
      <c r="X498" s="137">
        <f t="shared" si="87"/>
        <v>622.50999999999988</v>
      </c>
      <c r="Y498" s="137">
        <f t="shared" si="92"/>
        <v>49.800800000000095</v>
      </c>
      <c r="Z498" s="137">
        <v>622.51</v>
      </c>
      <c r="AA498" s="137">
        <f t="shared" si="88"/>
        <v>-622.51</v>
      </c>
      <c r="AB498" s="146">
        <f t="shared" si="96"/>
        <v>576.39814814814815</v>
      </c>
      <c r="AC498" s="147">
        <f t="shared" si="89"/>
        <v>46.111851851851839</v>
      </c>
      <c r="AD498" s="137">
        <f t="shared" si="97"/>
        <v>610.2324538212913</v>
      </c>
      <c r="AE498" s="138">
        <v>0.31559999999999999</v>
      </c>
      <c r="AF498" s="137">
        <f t="shared" si="95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hidden="1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668</v>
      </c>
      <c r="G499" s="119" t="s">
        <v>668</v>
      </c>
      <c r="H499" s="119" t="s">
        <v>668</v>
      </c>
      <c r="I499" s="163" t="s">
        <v>202</v>
      </c>
      <c r="J499" s="119" t="s">
        <v>572</v>
      </c>
      <c r="K499" s="119" t="s">
        <v>573</v>
      </c>
      <c r="L499" s="119" t="s">
        <v>668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6"/>
        <v>203.38040000000001</v>
      </c>
      <c r="U499" s="137">
        <f t="shared" si="90"/>
        <v>10372.4004</v>
      </c>
      <c r="V499" s="137">
        <v>20400</v>
      </c>
      <c r="W499" s="137">
        <f t="shared" si="91"/>
        <v>-10027.5996</v>
      </c>
      <c r="X499" s="137">
        <f t="shared" si="87"/>
        <v>-9830.98</v>
      </c>
      <c r="Y499" s="137">
        <f t="shared" si="92"/>
        <v>-196.61959999999999</v>
      </c>
      <c r="Z499" s="137">
        <v>10372.4</v>
      </c>
      <c r="AA499" s="137">
        <f t="shared" si="88"/>
        <v>10027.6</v>
      </c>
      <c r="AB499" s="146">
        <f t="shared" si="96"/>
        <v>10169.019607843136</v>
      </c>
      <c r="AC499" s="147">
        <f t="shared" si="89"/>
        <v>203.38039215686331</v>
      </c>
      <c r="AD499" s="137">
        <f t="shared" si="97"/>
        <v>10167.828796350199</v>
      </c>
      <c r="AE499" s="138">
        <v>0.1077</v>
      </c>
      <c r="AF499" s="137">
        <f t="shared" si="95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hidden="1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668</v>
      </c>
      <c r="G500" s="119" t="s">
        <v>668</v>
      </c>
      <c r="H500" s="119" t="s">
        <v>668</v>
      </c>
      <c r="I500" s="163" t="s">
        <v>202</v>
      </c>
      <c r="J500" s="119" t="s">
        <v>572</v>
      </c>
      <c r="K500" s="119" t="s">
        <v>573</v>
      </c>
      <c r="L500" s="119" t="s">
        <v>668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6"/>
        <v>35.294400000000003</v>
      </c>
      <c r="U500" s="137">
        <f t="shared" si="90"/>
        <v>476.4744</v>
      </c>
      <c r="V500" s="137">
        <v>0</v>
      </c>
      <c r="W500" s="137">
        <f t="shared" si="91"/>
        <v>476.4744</v>
      </c>
      <c r="X500" s="137">
        <f t="shared" si="87"/>
        <v>441.17999999999995</v>
      </c>
      <c r="Y500" s="137">
        <f t="shared" si="92"/>
        <v>35.294400000000053</v>
      </c>
      <c r="Z500" s="137">
        <v>450</v>
      </c>
      <c r="AA500" s="137">
        <f t="shared" si="88"/>
        <v>-450</v>
      </c>
      <c r="AB500" s="146">
        <f t="shared" si="96"/>
        <v>416.66666666666663</v>
      </c>
      <c r="AC500" s="147">
        <f t="shared" si="89"/>
        <v>33.333333333333371</v>
      </c>
      <c r="AD500" s="137">
        <f t="shared" si="97"/>
        <v>441.12480798634738</v>
      </c>
      <c r="AE500" s="138">
        <v>0.31559999999999999</v>
      </c>
      <c r="AF500" s="137">
        <f t="shared" si="95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hidden="1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646</v>
      </c>
      <c r="G501" s="119" t="s">
        <v>646</v>
      </c>
      <c r="H501" s="119" t="s">
        <v>646</v>
      </c>
      <c r="I501" s="163" t="s">
        <v>202</v>
      </c>
      <c r="J501" s="119" t="s">
        <v>572</v>
      </c>
      <c r="K501" s="119" t="s">
        <v>573</v>
      </c>
      <c r="L501" s="119" t="s">
        <v>646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6"/>
        <v>13153.848</v>
      </c>
      <c r="U501" s="137">
        <f t="shared" si="90"/>
        <v>100846.16800000001</v>
      </c>
      <c r="V501" s="137">
        <v>0</v>
      </c>
      <c r="W501" s="137">
        <f t="shared" si="91"/>
        <v>100846.16800000001</v>
      </c>
      <c r="X501" s="137">
        <f t="shared" si="87"/>
        <v>87692.32</v>
      </c>
      <c r="Y501" s="137">
        <f t="shared" si="92"/>
        <v>13153.847999999998</v>
      </c>
      <c r="Z501" s="137">
        <v>101418.56</v>
      </c>
      <c r="AA501" s="137">
        <f t="shared" si="88"/>
        <v>-101418.56</v>
      </c>
      <c r="AB501" s="146">
        <f t="shared" si="96"/>
        <v>88190.052173913049</v>
      </c>
      <c r="AC501" s="147">
        <f t="shared" si="89"/>
        <v>13228.507826086949</v>
      </c>
      <c r="AD501" s="137">
        <f t="shared" si="97"/>
        <v>99418.31734722633</v>
      </c>
      <c r="AE501" s="138">
        <v>0.31559999999999999</v>
      </c>
      <c r="AF501" s="137">
        <f t="shared" si="95"/>
        <v>31376.420954784629</v>
      </c>
      <c r="AG501" s="137">
        <v>18779.189709913098</v>
      </c>
      <c r="AH501" s="154"/>
      <c r="AI501" s="154"/>
      <c r="AJ501" s="135" t="s">
        <v>659</v>
      </c>
      <c r="AK501" s="119" t="s">
        <v>659</v>
      </c>
      <c r="AM501" s="131"/>
    </row>
    <row r="502" spans="1:39" s="119" customFormat="1" ht="15" hidden="1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669</v>
      </c>
      <c r="G502" s="119" t="s">
        <v>669</v>
      </c>
      <c r="H502" s="119" t="s">
        <v>669</v>
      </c>
      <c r="I502" s="163" t="s">
        <v>202</v>
      </c>
      <c r="J502" s="119" t="s">
        <v>572</v>
      </c>
      <c r="K502" s="119" t="s">
        <v>573</v>
      </c>
      <c r="L502" s="119" t="s">
        <v>669</v>
      </c>
      <c r="M502" s="119" t="s">
        <v>45</v>
      </c>
      <c r="N502" s="136">
        <v>0.02</v>
      </c>
      <c r="O502" s="135" t="s">
        <v>50</v>
      </c>
      <c r="P502" s="135" t="s">
        <v>437</v>
      </c>
      <c r="Q502" s="137">
        <v>0</v>
      </c>
      <c r="R502" s="137">
        <v>0</v>
      </c>
      <c r="S502" s="137">
        <v>2000000</v>
      </c>
      <c r="T502" s="137">
        <f t="shared" si="86"/>
        <v>40000</v>
      </c>
      <c r="U502" s="137">
        <f t="shared" si="90"/>
        <v>2040000</v>
      </c>
      <c r="V502" s="137">
        <v>2080000</v>
      </c>
      <c r="W502" s="137">
        <f t="shared" si="91"/>
        <v>-40000</v>
      </c>
      <c r="X502" s="137">
        <f t="shared" si="87"/>
        <v>-39215.686274509804</v>
      </c>
      <c r="Y502" s="137">
        <f t="shared" si="92"/>
        <v>-784.31372549019579</v>
      </c>
      <c r="Z502" s="137">
        <v>1632000</v>
      </c>
      <c r="AA502" s="137">
        <f t="shared" si="88"/>
        <v>448000</v>
      </c>
      <c r="AB502" s="146">
        <f t="shared" si="96"/>
        <v>1600000</v>
      </c>
      <c r="AC502" s="147">
        <f t="shared" si="89"/>
        <v>32000</v>
      </c>
      <c r="AD502" s="137">
        <f t="shared" si="97"/>
        <v>1599812.6369638199</v>
      </c>
      <c r="AE502" s="138">
        <v>0.1077</v>
      </c>
      <c r="AF502" s="137">
        <f t="shared" si="95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hidden="1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119" t="s">
        <v>669</v>
      </c>
      <c r="G503" s="119" t="s">
        <v>669</v>
      </c>
      <c r="H503" s="119" t="s">
        <v>669</v>
      </c>
      <c r="I503" s="163" t="s">
        <v>202</v>
      </c>
      <c r="J503" s="119" t="s">
        <v>572</v>
      </c>
      <c r="K503" s="119" t="s">
        <v>573</v>
      </c>
      <c r="L503" s="119" t="s">
        <v>669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6"/>
        <v>32000</v>
      </c>
      <c r="U503" s="137">
        <f t="shared" si="90"/>
        <v>832000</v>
      </c>
      <c r="V503" s="137">
        <v>800000</v>
      </c>
      <c r="W503" s="137">
        <f t="shared" si="91"/>
        <v>32000</v>
      </c>
      <c r="X503" s="137">
        <f t="shared" si="87"/>
        <v>30769.23076923077</v>
      </c>
      <c r="Y503" s="137">
        <f t="shared" si="92"/>
        <v>1230.7692307692305</v>
      </c>
      <c r="Z503" s="137">
        <v>800000</v>
      </c>
      <c r="AA503" s="137">
        <f t="shared" si="88"/>
        <v>0</v>
      </c>
      <c r="AB503" s="146">
        <f t="shared" si="96"/>
        <v>769230.76923076925</v>
      </c>
      <c r="AC503" s="147">
        <f t="shared" si="89"/>
        <v>30769.230769230751</v>
      </c>
      <c r="AD503" s="137">
        <f t="shared" si="97"/>
        <v>784221.88086461753</v>
      </c>
      <c r="AE503" s="138">
        <v>0.1077</v>
      </c>
      <c r="AF503" s="137">
        <f t="shared" si="95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hidden="1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572</v>
      </c>
      <c r="K504" s="119" t="s">
        <v>573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6"/>
        <v>433.29579999999999</v>
      </c>
      <c r="U504" s="137">
        <f t="shared" si="90"/>
        <v>3528.2657999999997</v>
      </c>
      <c r="V504" s="137">
        <v>0</v>
      </c>
      <c r="W504" s="137">
        <f t="shared" si="91"/>
        <v>3528.2657999999997</v>
      </c>
      <c r="X504" s="137">
        <f t="shared" si="87"/>
        <v>3094.9699999999993</v>
      </c>
      <c r="Y504" s="137">
        <f t="shared" si="92"/>
        <v>433.29580000000033</v>
      </c>
      <c r="Z504" s="137">
        <v>3576.01</v>
      </c>
      <c r="AA504" s="137">
        <f t="shared" si="88"/>
        <v>-3576.01</v>
      </c>
      <c r="AB504" s="146">
        <f t="shared" si="96"/>
        <v>3136.8508771929824</v>
      </c>
      <c r="AC504" s="147">
        <f t="shared" si="89"/>
        <v>439.15912280701787</v>
      </c>
      <c r="AD504" s="137">
        <f t="shared" si="97"/>
        <v>3505.4816102383515</v>
      </c>
      <c r="AE504" s="138">
        <v>0.31559999999999999</v>
      </c>
      <c r="AF504" s="137">
        <f t="shared" si="95"/>
        <v>1106.3299961912237</v>
      </c>
      <c r="AG504" s="137">
        <v>689.42963319298201</v>
      </c>
      <c r="AH504" s="154"/>
      <c r="AI504" s="154"/>
      <c r="AJ504" s="135" t="s">
        <v>670</v>
      </c>
      <c r="AK504" s="119" t="s">
        <v>670</v>
      </c>
      <c r="AM504" s="131"/>
    </row>
    <row r="505" spans="1:39" s="119" customFormat="1" ht="15" hidden="1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572</v>
      </c>
      <c r="K505" s="119" t="s">
        <v>573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6"/>
        <v>23076.201200000003</v>
      </c>
      <c r="U505" s="137">
        <f t="shared" si="90"/>
        <v>599981.23120000004</v>
      </c>
      <c r="V505" s="137">
        <v>603543.6</v>
      </c>
      <c r="W505" s="137">
        <f t="shared" si="91"/>
        <v>-3562.3687999999383</v>
      </c>
      <c r="X505" s="137">
        <f t="shared" si="87"/>
        <v>-3425.3546153845559</v>
      </c>
      <c r="Y505" s="137">
        <f t="shared" si="92"/>
        <v>-137.01418461538242</v>
      </c>
      <c r="Z505" s="137">
        <v>660113.85</v>
      </c>
      <c r="AA505" s="137">
        <f t="shared" si="88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9"/>
        <v>83221.936538461596</v>
      </c>
      <c r="AD505" s="137">
        <f t="shared" si="97"/>
        <v>647094.65628972999</v>
      </c>
      <c r="AE505" s="138">
        <v>0.1077</v>
      </c>
      <c r="AF505" s="137">
        <f t="shared" si="95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hidden="1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671</v>
      </c>
      <c r="G506" s="119" t="s">
        <v>671</v>
      </c>
      <c r="H506" s="119" t="s">
        <v>671</v>
      </c>
      <c r="I506" s="163" t="s">
        <v>202</v>
      </c>
      <c r="J506" s="119" t="s">
        <v>572</v>
      </c>
      <c r="K506" s="119" t="s">
        <v>573</v>
      </c>
      <c r="L506" s="119" t="s">
        <v>671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6"/>
        <v>120339.48460000001</v>
      </c>
      <c r="U506" s="137">
        <f t="shared" si="90"/>
        <v>6137313.7146000005</v>
      </c>
      <c r="V506" s="137">
        <v>8819672.5500000007</v>
      </c>
      <c r="W506" s="137">
        <f t="shared" si="91"/>
        <v>-2682358.8354000002</v>
      </c>
      <c r="X506" s="137">
        <f t="shared" si="87"/>
        <v>-2629763.5641176472</v>
      </c>
      <c r="Y506" s="137">
        <f t="shared" si="92"/>
        <v>-52595.271282352973</v>
      </c>
      <c r="Z506" s="137">
        <v>6421785.0099999998</v>
      </c>
      <c r="AA506" s="137">
        <f t="shared" si="88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9"/>
        <v>354810.79431372508</v>
      </c>
      <c r="AD506" s="137">
        <f t="shared" si="97"/>
        <v>6295130.3988130083</v>
      </c>
      <c r="AE506" s="138">
        <v>0.1077</v>
      </c>
      <c r="AF506" s="137">
        <f t="shared" si="95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hidden="1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119" t="s">
        <v>671</v>
      </c>
      <c r="G507" s="119" t="s">
        <v>671</v>
      </c>
      <c r="H507" s="119" t="s">
        <v>671</v>
      </c>
      <c r="I507" s="163" t="s">
        <v>202</v>
      </c>
      <c r="J507" s="119" t="s">
        <v>572</v>
      </c>
      <c r="K507" s="119" t="s">
        <v>573</v>
      </c>
      <c r="L507" s="119" t="s">
        <v>671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6"/>
        <v>1000</v>
      </c>
      <c r="U507" s="137">
        <f t="shared" si="90"/>
        <v>51000</v>
      </c>
      <c r="V507" s="137">
        <v>0</v>
      </c>
      <c r="W507" s="137">
        <f t="shared" si="91"/>
        <v>51000</v>
      </c>
      <c r="X507" s="137">
        <f t="shared" si="87"/>
        <v>50000</v>
      </c>
      <c r="Y507" s="137">
        <f t="shared" si="92"/>
        <v>1000</v>
      </c>
      <c r="Z507" s="137">
        <v>0</v>
      </c>
      <c r="AA507" s="137">
        <f t="shared" si="88"/>
        <v>0</v>
      </c>
      <c r="AB507" s="146">
        <f>IF(O507="返货",Z507/(1+N507),IF(O507="返现",Z507,IF(O507="折扣",Z507*N507,IF(O507="无",Z507))))</f>
        <v>0</v>
      </c>
      <c r="AC507" s="147">
        <f t="shared" si="89"/>
        <v>0</v>
      </c>
      <c r="AD507" s="137">
        <f t="shared" si="97"/>
        <v>0</v>
      </c>
      <c r="AE507" s="138">
        <v>0.1077</v>
      </c>
      <c r="AF507" s="137">
        <f t="shared" si="95"/>
        <v>0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hidden="1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671</v>
      </c>
      <c r="G508" s="119" t="s">
        <v>671</v>
      </c>
      <c r="H508" s="119" t="s">
        <v>671</v>
      </c>
      <c r="I508" s="163" t="s">
        <v>202</v>
      </c>
      <c r="J508" s="119" t="s">
        <v>572</v>
      </c>
      <c r="K508" s="119" t="s">
        <v>573</v>
      </c>
      <c r="L508" s="119" t="s">
        <v>671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6"/>
        <v>190622.00160000002</v>
      </c>
      <c r="U508" s="137">
        <f t="shared" si="90"/>
        <v>2573397.0216000001</v>
      </c>
      <c r="V508" s="137">
        <v>0</v>
      </c>
      <c r="W508" s="137">
        <f t="shared" si="91"/>
        <v>2573397.0216000001</v>
      </c>
      <c r="X508" s="137">
        <f t="shared" si="87"/>
        <v>2382775.02</v>
      </c>
      <c r="Y508" s="137">
        <f t="shared" si="92"/>
        <v>190622.00160000008</v>
      </c>
      <c r="Z508" s="137">
        <v>2489303.0699999998</v>
      </c>
      <c r="AA508" s="137">
        <f t="shared" si="88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9"/>
        <v>184392.8200000003</v>
      </c>
      <c r="AD508" s="137">
        <f t="shared" si="97"/>
        <v>2440207.4194968333</v>
      </c>
      <c r="AE508" s="138">
        <v>0.31559999999999999</v>
      </c>
      <c r="AF508" s="137">
        <f t="shared" si="95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hidden="1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648</v>
      </c>
      <c r="G509" s="119" t="s">
        <v>648</v>
      </c>
      <c r="H509" s="119" t="s">
        <v>648</v>
      </c>
      <c r="I509" s="163" t="s">
        <v>202</v>
      </c>
      <c r="J509" s="119" t="s">
        <v>572</v>
      </c>
      <c r="K509" s="119" t="s">
        <v>573</v>
      </c>
      <c r="L509" s="119" t="s">
        <v>649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6"/>
        <v>1931.3632</v>
      </c>
      <c r="U509" s="137">
        <f t="shared" si="90"/>
        <v>26073.403200000001</v>
      </c>
      <c r="V509" s="137">
        <v>0</v>
      </c>
      <c r="W509" s="137">
        <f t="shared" si="91"/>
        <v>26073.403200000001</v>
      </c>
      <c r="X509" s="137">
        <f t="shared" si="87"/>
        <v>24142.039999999997</v>
      </c>
      <c r="Y509" s="137">
        <f t="shared" si="92"/>
        <v>1931.3632000000034</v>
      </c>
      <c r="Z509" s="137">
        <v>28166.42</v>
      </c>
      <c r="AA509" s="137">
        <f t="shared" si="88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9"/>
        <v>5365.6012962962996</v>
      </c>
      <c r="AD509" s="137">
        <f t="shared" si="97"/>
        <v>27610.903587028475</v>
      </c>
      <c r="AE509" s="138">
        <v>0.31559999999999999</v>
      </c>
      <c r="AF509" s="137">
        <f t="shared" si="95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hidden="1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663</v>
      </c>
      <c r="G510" s="119" t="s">
        <v>664</v>
      </c>
      <c r="H510" s="119" t="s">
        <v>665</v>
      </c>
      <c r="I510" s="163" t="s">
        <v>202</v>
      </c>
      <c r="J510" s="119" t="s">
        <v>572</v>
      </c>
      <c r="K510" s="119" t="s">
        <v>573</v>
      </c>
      <c r="L510" s="119" t="s">
        <v>663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6"/>
        <v>519989.98960000003</v>
      </c>
      <c r="U510" s="137">
        <f t="shared" si="90"/>
        <v>7019864.8596000001</v>
      </c>
      <c r="V510" s="137">
        <v>0</v>
      </c>
      <c r="W510" s="137">
        <f t="shared" si="91"/>
        <v>7019864.8596000001</v>
      </c>
      <c r="X510" s="137">
        <f t="shared" si="87"/>
        <v>6499874.8700000001</v>
      </c>
      <c r="Y510" s="137">
        <f t="shared" si="92"/>
        <v>519989.98959999997</v>
      </c>
      <c r="Z510" s="137">
        <v>7143397.9000000004</v>
      </c>
      <c r="AA510" s="137">
        <f t="shared" si="88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9"/>
        <v>648455.91851851903</v>
      </c>
      <c r="AD510" s="137">
        <f t="shared" si="97"/>
        <v>7002511.1711279498</v>
      </c>
      <c r="AE510" s="138">
        <v>0.31559999999999999</v>
      </c>
      <c r="AF510" s="137">
        <f t="shared" si="95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hidden="1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672</v>
      </c>
      <c r="G511" s="119" t="s">
        <v>672</v>
      </c>
      <c r="H511" s="119" t="s">
        <v>672</v>
      </c>
      <c r="I511" s="163" t="s">
        <v>202</v>
      </c>
      <c r="J511" s="119" t="s">
        <v>572</v>
      </c>
      <c r="K511" s="119" t="s">
        <v>573</v>
      </c>
      <c r="L511" s="119" t="s">
        <v>673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6"/>
        <v>952.40000000000009</v>
      </c>
      <c r="U511" s="137">
        <f t="shared" si="90"/>
        <v>20000.400000000001</v>
      </c>
      <c r="V511" s="137">
        <v>20000</v>
      </c>
      <c r="W511" s="137">
        <f t="shared" si="91"/>
        <v>0.40000000000145519</v>
      </c>
      <c r="X511" s="137">
        <f t="shared" si="87"/>
        <v>0.38095238095376682</v>
      </c>
      <c r="Y511" s="137">
        <f t="shared" si="92"/>
        <v>1.9047619047688369E-2</v>
      </c>
      <c r="Z511" s="137">
        <v>20000</v>
      </c>
      <c r="AA511" s="137">
        <f t="shared" si="88"/>
        <v>0</v>
      </c>
      <c r="AB511" s="146">
        <f>IF(O511="返货",Z511/(1+N511),IF(O511="返现",Z511,IF(O511="折扣",Z511*N511,IF(O511="无",Z511))))</f>
        <v>19047.619047619046</v>
      </c>
      <c r="AC511" s="147">
        <f t="shared" si="89"/>
        <v>952.38095238095411</v>
      </c>
      <c r="AD511" s="137">
        <f t="shared" si="97"/>
        <v>19605.547021615439</v>
      </c>
      <c r="AE511" s="138">
        <v>0.1077</v>
      </c>
      <c r="AF511" s="137">
        <f t="shared" si="95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hidden="1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674</v>
      </c>
      <c r="G512" s="119" t="s">
        <v>674</v>
      </c>
      <c r="H512" s="119" t="s">
        <v>674</v>
      </c>
      <c r="I512" s="163" t="s">
        <v>202</v>
      </c>
      <c r="J512" s="119" t="s">
        <v>572</v>
      </c>
      <c r="K512" s="119" t="s">
        <v>573</v>
      </c>
      <c r="L512" s="119" t="s">
        <v>675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6"/>
        <v>94.625</v>
      </c>
      <c r="U512" s="137">
        <f t="shared" si="90"/>
        <v>1987.125</v>
      </c>
      <c r="V512" s="137">
        <v>5000</v>
      </c>
      <c r="W512" s="137">
        <f t="shared" si="91"/>
        <v>-3012.875</v>
      </c>
      <c r="X512" s="137">
        <f t="shared" si="87"/>
        <v>-2869.4047619047619</v>
      </c>
      <c r="Y512" s="137">
        <f t="shared" si="92"/>
        <v>-143.47023809523807</v>
      </c>
      <c r="Z512" s="137">
        <v>0</v>
      </c>
      <c r="AA512" s="137">
        <f t="shared" si="88"/>
        <v>5000</v>
      </c>
      <c r="AB512" s="146">
        <f>IF(O512="返货",Z512/(1+N512),IF(O512="返现",Z512,IF(O512="折扣",Z512*N512,IF(O512="无",Z512))))</f>
        <v>0</v>
      </c>
      <c r="AC512" s="147">
        <f t="shared" si="89"/>
        <v>0</v>
      </c>
      <c r="AD512" s="137">
        <f t="shared" si="97"/>
        <v>0</v>
      </c>
      <c r="AE512" s="138">
        <v>0.1077</v>
      </c>
      <c r="AF512" s="137">
        <f t="shared" si="95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hidden="1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676</v>
      </c>
      <c r="G513" s="119" t="s">
        <v>676</v>
      </c>
      <c r="H513" s="119" t="s">
        <v>676</v>
      </c>
      <c r="I513" s="163" t="s">
        <v>202</v>
      </c>
      <c r="J513" s="119" t="s">
        <v>572</v>
      </c>
      <c r="K513" s="119" t="s">
        <v>573</v>
      </c>
      <c r="L513" s="119" t="s">
        <v>677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6"/>
        <v>1571.8209999999999</v>
      </c>
      <c r="U513" s="137">
        <f t="shared" si="90"/>
        <v>33008.240999999995</v>
      </c>
      <c r="V513" s="137">
        <v>40701.01</v>
      </c>
      <c r="W513" s="137">
        <f t="shared" si="91"/>
        <v>-7692.7690000000075</v>
      </c>
      <c r="X513" s="137">
        <f t="shared" si="87"/>
        <v>-7326.4466666666731</v>
      </c>
      <c r="Y513" s="137">
        <f t="shared" si="92"/>
        <v>-366.32233333333443</v>
      </c>
      <c r="Z513" s="137">
        <v>31436.42</v>
      </c>
      <c r="AA513" s="137">
        <f t="shared" si="88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9"/>
        <v>1496.9723809523821</v>
      </c>
      <c r="AD513" s="137">
        <f t="shared" si="97"/>
        <v>30816.410525062598</v>
      </c>
      <c r="AE513" s="138">
        <v>0.1077</v>
      </c>
      <c r="AF513" s="137">
        <f t="shared" si="95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hidden="1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678</v>
      </c>
      <c r="G514" s="119" t="s">
        <v>678</v>
      </c>
      <c r="H514" s="119" t="s">
        <v>678</v>
      </c>
      <c r="I514" s="163" t="s">
        <v>202</v>
      </c>
      <c r="J514" s="119" t="s">
        <v>572</v>
      </c>
      <c r="K514" s="119" t="s">
        <v>573</v>
      </c>
      <c r="L514" s="119" t="s">
        <v>679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8">S514*N514</f>
        <v>500</v>
      </c>
      <c r="U514" s="137">
        <f t="shared" si="90"/>
        <v>10500</v>
      </c>
      <c r="V514" s="137">
        <v>10000</v>
      </c>
      <c r="W514" s="137">
        <f t="shared" si="91"/>
        <v>500</v>
      </c>
      <c r="X514" s="137">
        <f t="shared" ref="X514:X577" si="99">W514/(1+N514)</f>
        <v>476.19047619047615</v>
      </c>
      <c r="Y514" s="137">
        <f t="shared" si="92"/>
        <v>23.809523809523853</v>
      </c>
      <c r="Z514" s="137">
        <v>0</v>
      </c>
      <c r="AA514" s="137">
        <f t="shared" ref="AA514:AA577" si="100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1">IF(O514="返现",Z514*N514,Z514-AB514)</f>
        <v>0</v>
      </c>
      <c r="AD514" s="137">
        <f t="shared" si="97"/>
        <v>0</v>
      </c>
      <c r="AE514" s="138">
        <v>0.1077</v>
      </c>
      <c r="AF514" s="137">
        <f t="shared" si="95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hidden="1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680</v>
      </c>
      <c r="G515" s="119" t="s">
        <v>680</v>
      </c>
      <c r="H515" s="119" t="s">
        <v>680</v>
      </c>
      <c r="I515" s="163" t="s">
        <v>202</v>
      </c>
      <c r="J515" s="119" t="s">
        <v>572</v>
      </c>
      <c r="K515" s="119" t="s">
        <v>573</v>
      </c>
      <c r="L515" s="119" t="s">
        <v>681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8"/>
        <v>6122.4375</v>
      </c>
      <c r="U515" s="137">
        <f t="shared" ref="U515:U578" si="102">R515+S515+T515</f>
        <v>46938.6875</v>
      </c>
      <c r="V515" s="137">
        <v>0</v>
      </c>
      <c r="W515" s="137">
        <f t="shared" ref="W515:W578" si="103">U515-V515</f>
        <v>46938.6875</v>
      </c>
      <c r="X515" s="137">
        <f t="shared" si="99"/>
        <v>40816.25</v>
      </c>
      <c r="Y515" s="137">
        <f t="shared" ref="Y515:Y578" si="104">W515-X515</f>
        <v>6122.4375</v>
      </c>
      <c r="Z515" s="137">
        <v>47989.56</v>
      </c>
      <c r="AA515" s="137">
        <f t="shared" si="100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1"/>
        <v>9216.0295652173882</v>
      </c>
      <c r="AD515" s="137">
        <f t="shared" si="97"/>
        <v>47043.078756331772</v>
      </c>
      <c r="AE515" s="138">
        <v>0.31559999999999999</v>
      </c>
      <c r="AF515" s="137">
        <f t="shared" si="95"/>
        <v>14846.795655498307</v>
      </c>
      <c r="AG515" s="137">
        <v>2140.9183659130399</v>
      </c>
      <c r="AH515" s="154"/>
      <c r="AI515" s="154"/>
      <c r="AJ515" s="135" t="s">
        <v>659</v>
      </c>
      <c r="AK515" s="119" t="s">
        <v>659</v>
      </c>
      <c r="AL515" s="119" t="s">
        <v>586</v>
      </c>
      <c r="AM515" s="131"/>
    </row>
    <row r="516" spans="1:39" s="119" customFormat="1" ht="15" hidden="1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680</v>
      </c>
      <c r="G516" s="119" t="s">
        <v>680</v>
      </c>
      <c r="H516" s="119" t="s">
        <v>680</v>
      </c>
      <c r="I516" s="163" t="s">
        <v>202</v>
      </c>
      <c r="J516" s="119" t="s">
        <v>572</v>
      </c>
      <c r="K516" s="119" t="s">
        <v>573</v>
      </c>
      <c r="L516" s="119" t="s">
        <v>681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8"/>
        <v>2659.5550000000003</v>
      </c>
      <c r="U516" s="137">
        <f t="shared" si="102"/>
        <v>55850.654999999999</v>
      </c>
      <c r="V516" s="137">
        <v>346160.87</v>
      </c>
      <c r="W516" s="137">
        <f t="shared" si="103"/>
        <v>-290310.21499999997</v>
      </c>
      <c r="X516" s="137">
        <f t="shared" si="99"/>
        <v>-276485.91904761898</v>
      </c>
      <c r="Y516" s="137">
        <f t="shared" si="104"/>
        <v>-13824.295952380984</v>
      </c>
      <c r="Z516" s="137">
        <v>271362.45</v>
      </c>
      <c r="AA516" s="137">
        <f t="shared" si="100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1"/>
        <v>14826.783333333355</v>
      </c>
      <c r="AD516" s="137">
        <f t="shared" si="97"/>
        <v>266010.46366878843</v>
      </c>
      <c r="AE516" s="138">
        <v>0.1077</v>
      </c>
      <c r="AF516" s="137">
        <f t="shared" si="95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586</v>
      </c>
      <c r="AM516" s="131"/>
    </row>
    <row r="517" spans="1:39" s="119" customFormat="1" ht="15" hidden="1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442</v>
      </c>
      <c r="G517" s="119" t="s">
        <v>442</v>
      </c>
      <c r="H517" s="119" t="s">
        <v>442</v>
      </c>
      <c r="I517" s="163" t="s">
        <v>202</v>
      </c>
      <c r="J517" s="119" t="s">
        <v>572</v>
      </c>
      <c r="K517" s="119" t="s">
        <v>573</v>
      </c>
      <c r="L517" s="119" t="s">
        <v>681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8"/>
        <v>8052.25</v>
      </c>
      <c r="U517" s="137">
        <f t="shared" si="102"/>
        <v>169097.25</v>
      </c>
      <c r="V517" s="137">
        <v>0</v>
      </c>
      <c r="W517" s="137">
        <f t="shared" si="103"/>
        <v>169097.25</v>
      </c>
      <c r="X517" s="137">
        <f t="shared" si="99"/>
        <v>161045</v>
      </c>
      <c r="Y517" s="137">
        <f t="shared" si="104"/>
        <v>8052.25</v>
      </c>
      <c r="Z517" s="137">
        <v>0</v>
      </c>
      <c r="AA517" s="137">
        <f t="shared" si="100"/>
        <v>0</v>
      </c>
      <c r="AB517" s="146">
        <f>IF(O517="返货",Z517/(1+N517),IF(O517="返现",Z517,IF(O517="折扣",Z517*N517,IF(O517="无",Z517))))</f>
        <v>0</v>
      </c>
      <c r="AC517" s="147">
        <f t="shared" si="101"/>
        <v>0</v>
      </c>
      <c r="AD517" s="137">
        <f t="shared" si="97"/>
        <v>0</v>
      </c>
      <c r="AE517" s="138">
        <v>0.1077</v>
      </c>
      <c r="AF517" s="137">
        <f t="shared" si="95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hidden="1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572</v>
      </c>
      <c r="K518" s="119" t="s">
        <v>573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231" t="s">
        <v>1698</v>
      </c>
      <c r="Q518" s="137">
        <v>0</v>
      </c>
      <c r="R518" s="137">
        <v>0</v>
      </c>
      <c r="S518" s="137">
        <v>4997385.88</v>
      </c>
      <c r="T518" s="137">
        <f t="shared" si="98"/>
        <v>99947.717600000004</v>
      </c>
      <c r="U518" s="137">
        <f t="shared" si="102"/>
        <v>5097333.5976</v>
      </c>
      <c r="V518" s="137">
        <v>8767368.9100000001</v>
      </c>
      <c r="W518" s="137">
        <f t="shared" si="103"/>
        <v>-3670035.3124000002</v>
      </c>
      <c r="X518" s="137">
        <f t="shared" si="99"/>
        <v>-3598073.8356862748</v>
      </c>
      <c r="Y518" s="137">
        <f t="shared" si="104"/>
        <v>-71961.476713725366</v>
      </c>
      <c r="Z518" s="137">
        <v>5432806.9800000004</v>
      </c>
      <c r="AA518" s="137">
        <f t="shared" si="100"/>
        <v>3334561.9299999997</v>
      </c>
      <c r="AB518" s="232">
        <f>(Z518-60000)/(1+N518)-23067.36</f>
        <v>5244390.4635294117</v>
      </c>
      <c r="AC518" s="147">
        <f t="shared" si="101"/>
        <v>188416.51647058874</v>
      </c>
      <c r="AD518" s="137">
        <f t="shared" si="97"/>
        <v>5325657.6352875289</v>
      </c>
      <c r="AE518" s="138">
        <v>0.1077</v>
      </c>
      <c r="AF518" s="137">
        <f t="shared" si="95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hidden="1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572</v>
      </c>
      <c r="K519" s="119" t="s">
        <v>573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8"/>
        <v>266764.95440000005</v>
      </c>
      <c r="U519" s="137">
        <f t="shared" si="102"/>
        <v>3601326.8844000003</v>
      </c>
      <c r="V519" s="137">
        <v>0</v>
      </c>
      <c r="W519" s="137">
        <f t="shared" si="103"/>
        <v>3601326.8844000003</v>
      </c>
      <c r="X519" s="137">
        <f t="shared" si="99"/>
        <v>3334561.93</v>
      </c>
      <c r="Y519" s="137">
        <f t="shared" si="104"/>
        <v>266764.95440000016</v>
      </c>
      <c r="Z519" s="137">
        <v>3334561.93</v>
      </c>
      <c r="AA519" s="137">
        <f t="shared" si="100"/>
        <v>-3334561.93</v>
      </c>
      <c r="AB519" s="232">
        <f>Z519/(1+N519)</f>
        <v>3087557.3425925924</v>
      </c>
      <c r="AC519" s="147">
        <f t="shared" si="101"/>
        <v>247004.58740740782</v>
      </c>
      <c r="AD519" s="137">
        <f t="shared" si="97"/>
        <v>3268795.5357551868</v>
      </c>
      <c r="AE519" s="138">
        <v>0.31559999999999999</v>
      </c>
      <c r="AF519" s="137">
        <f t="shared" si="95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hidden="1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119" t="s">
        <v>353</v>
      </c>
      <c r="G520" s="119" t="s">
        <v>353</v>
      </c>
      <c r="H520" s="119" t="s">
        <v>353</v>
      </c>
      <c r="I520" s="163" t="s">
        <v>202</v>
      </c>
      <c r="J520" s="119" t="s">
        <v>572</v>
      </c>
      <c r="K520" s="119" t="s">
        <v>573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8"/>
        <v>0</v>
      </c>
      <c r="U520" s="137">
        <f t="shared" si="102"/>
        <v>1151737.5</v>
      </c>
      <c r="V520" s="137">
        <v>413447.5</v>
      </c>
      <c r="W520" s="137">
        <f t="shared" si="103"/>
        <v>738290</v>
      </c>
      <c r="X520" s="137">
        <f t="shared" si="99"/>
        <v>738290</v>
      </c>
      <c r="Y520" s="137">
        <f t="shared" si="104"/>
        <v>0</v>
      </c>
      <c r="Z520" s="137">
        <v>413447.5</v>
      </c>
      <c r="AA520" s="137">
        <f t="shared" si="100"/>
        <v>0</v>
      </c>
      <c r="AB520" s="146">
        <f>IF(O520="返货",Z520/(1+N520),IF(O520="返现",Z520,IF(O520="折扣",Z520*N520,IF(O520="无",Z520))))</f>
        <v>413447.5</v>
      </c>
      <c r="AC520" s="147">
        <f t="shared" si="101"/>
        <v>0</v>
      </c>
      <c r="AD520" s="137">
        <f t="shared" si="97"/>
        <v>405293.22011096746</v>
      </c>
      <c r="AE520" s="138">
        <v>0.1077</v>
      </c>
      <c r="AF520" s="137">
        <f t="shared" si="95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hidden="1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644</v>
      </c>
      <c r="F521" s="119" t="s">
        <v>682</v>
      </c>
      <c r="G521" s="119" t="s">
        <v>682</v>
      </c>
      <c r="H521" s="119" t="s">
        <v>682</v>
      </c>
      <c r="I521" s="163" t="s">
        <v>202</v>
      </c>
      <c r="J521" s="119" t="s">
        <v>572</v>
      </c>
      <c r="K521" s="119" t="s">
        <v>573</v>
      </c>
      <c r="L521" s="119" t="s">
        <v>682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8"/>
        <v>4965.9659999999994</v>
      </c>
      <c r="U521" s="137">
        <f t="shared" si="102"/>
        <v>253264.26599999997</v>
      </c>
      <c r="V521" s="137">
        <v>259000</v>
      </c>
      <c r="W521" s="137">
        <f t="shared" si="103"/>
        <v>-5735.7340000000258</v>
      </c>
      <c r="X521" s="137">
        <f t="shared" si="99"/>
        <v>-5623.2686274510061</v>
      </c>
      <c r="Y521" s="137">
        <f t="shared" si="104"/>
        <v>-112.46537254901978</v>
      </c>
      <c r="Z521" s="137">
        <v>665358.23</v>
      </c>
      <c r="AA521" s="137">
        <f t="shared" si="100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1"/>
        <v>415099.14176470588</v>
      </c>
      <c r="AD521" s="137">
        <f t="shared" si="97"/>
        <v>652235.603224191</v>
      </c>
      <c r="AE521" s="138">
        <v>0.1077</v>
      </c>
      <c r="AF521" s="137">
        <f t="shared" si="95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hidden="1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644</v>
      </c>
      <c r="F522" s="119" t="s">
        <v>682</v>
      </c>
      <c r="G522" s="119" t="s">
        <v>682</v>
      </c>
      <c r="H522" s="119" t="s">
        <v>682</v>
      </c>
      <c r="I522" s="163" t="s">
        <v>202</v>
      </c>
      <c r="J522" s="119" t="s">
        <v>572</v>
      </c>
      <c r="K522" s="119" t="s">
        <v>573</v>
      </c>
      <c r="L522" s="119" t="s">
        <v>682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8"/>
        <v>136.136</v>
      </c>
      <c r="U522" s="137">
        <f t="shared" si="102"/>
        <v>1837.836</v>
      </c>
      <c r="V522" s="137">
        <v>0</v>
      </c>
      <c r="W522" s="137">
        <f t="shared" si="103"/>
        <v>1837.836</v>
      </c>
      <c r="X522" s="137">
        <f t="shared" si="99"/>
        <v>1701.6999999999998</v>
      </c>
      <c r="Y522" s="137">
        <f t="shared" si="104"/>
        <v>136.13600000000019</v>
      </c>
      <c r="Z522" s="137">
        <v>52329.22</v>
      </c>
      <c r="AA522" s="137">
        <f t="shared" si="100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1"/>
        <v>48870.213333333333</v>
      </c>
      <c r="AD522" s="137">
        <f t="shared" si="97"/>
        <v>51297.149165722956</v>
      </c>
      <c r="AE522" s="138">
        <v>0.31559999999999999</v>
      </c>
      <c r="AF522" s="137">
        <f t="shared" si="95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hidden="1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644</v>
      </c>
      <c r="F523" s="119" t="s">
        <v>683</v>
      </c>
      <c r="G523" s="119" t="s">
        <v>684</v>
      </c>
      <c r="H523" s="119" t="s">
        <v>684</v>
      </c>
      <c r="I523" s="163" t="s">
        <v>202</v>
      </c>
      <c r="J523" s="119" t="s">
        <v>572</v>
      </c>
      <c r="K523" s="119" t="s">
        <v>573</v>
      </c>
      <c r="L523" s="119" t="s">
        <v>683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8"/>
        <v>74091.002599999993</v>
      </c>
      <c r="U523" s="137">
        <f t="shared" si="102"/>
        <v>3778641.1325999997</v>
      </c>
      <c r="V523" s="137">
        <v>3750000</v>
      </c>
      <c r="W523" s="137">
        <f t="shared" si="103"/>
        <v>28641.132599999662</v>
      </c>
      <c r="X523" s="137">
        <f t="shared" si="99"/>
        <v>28079.541764705551</v>
      </c>
      <c r="Y523" s="137">
        <f t="shared" si="104"/>
        <v>561.59083529411146</v>
      </c>
      <c r="Z523" s="137">
        <v>3704550.13</v>
      </c>
      <c r="AA523" s="137">
        <f t="shared" si="100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1"/>
        <v>72638.237843137234</v>
      </c>
      <c r="AD523" s="137">
        <f t="shared" si="97"/>
        <v>3631486.5883823293</v>
      </c>
      <c r="AE523" s="138">
        <v>0.1077</v>
      </c>
      <c r="AF523" s="137">
        <f t="shared" si="95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hidden="1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685</v>
      </c>
      <c r="G524" s="119" t="s">
        <v>685</v>
      </c>
      <c r="H524" s="119" t="s">
        <v>685</v>
      </c>
      <c r="I524" s="163" t="s">
        <v>202</v>
      </c>
      <c r="J524" s="119" t="s">
        <v>572</v>
      </c>
      <c r="K524" s="119" t="s">
        <v>573</v>
      </c>
      <c r="L524" s="119" t="s">
        <v>685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8"/>
        <v>25621.186400000002</v>
      </c>
      <c r="U524" s="137">
        <f t="shared" si="102"/>
        <v>1306680.5064000001</v>
      </c>
      <c r="V524" s="137">
        <v>1428000</v>
      </c>
      <c r="W524" s="137">
        <f t="shared" si="103"/>
        <v>-121319.49359999993</v>
      </c>
      <c r="X524" s="137">
        <f t="shared" si="99"/>
        <v>-118940.67999999993</v>
      </c>
      <c r="Y524" s="137">
        <f t="shared" si="104"/>
        <v>-2378.813599999994</v>
      </c>
      <c r="Z524" s="137">
        <v>1306680.51</v>
      </c>
      <c r="AA524" s="137">
        <f t="shared" si="100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1"/>
        <v>25621.186470588204</v>
      </c>
      <c r="AD524" s="137">
        <f t="shared" si="97"/>
        <v>1280909.3090516722</v>
      </c>
      <c r="AE524" s="138">
        <v>0.1077</v>
      </c>
      <c r="AF524" s="137">
        <f t="shared" si="95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hidden="1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686</v>
      </c>
      <c r="G525" s="119" t="s">
        <v>686</v>
      </c>
      <c r="H525" s="119" t="s">
        <v>686</v>
      </c>
      <c r="I525" s="163" t="s">
        <v>202</v>
      </c>
      <c r="J525" s="119" t="s">
        <v>572</v>
      </c>
      <c r="K525" s="119" t="s">
        <v>573</v>
      </c>
      <c r="L525" s="119" t="s">
        <v>686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8"/>
        <v>8598.1075999999994</v>
      </c>
      <c r="U525" s="137">
        <f t="shared" si="102"/>
        <v>438503.48759999999</v>
      </c>
      <c r="V525" s="137">
        <v>448386.46</v>
      </c>
      <c r="W525" s="137">
        <f t="shared" si="103"/>
        <v>-9882.9724000000278</v>
      </c>
      <c r="X525" s="137">
        <f t="shared" si="99"/>
        <v>-9689.1886274510071</v>
      </c>
      <c r="Y525" s="137">
        <f t="shared" si="104"/>
        <v>-193.7837725490208</v>
      </c>
      <c r="Z525" s="137">
        <v>487912.31</v>
      </c>
      <c r="AA525" s="137">
        <f t="shared" si="100"/>
        <v>-1598.4099999999744</v>
      </c>
      <c r="AB525" s="146">
        <f>(Z525-Q525)/(1+N525)</f>
        <v>441161.63725490193</v>
      </c>
      <c r="AC525" s="147">
        <f t="shared" si="101"/>
        <v>46750.672745098069</v>
      </c>
      <c r="AD525" s="137">
        <f t="shared" si="97"/>
        <v>478289.38680650044</v>
      </c>
      <c r="AE525" s="138">
        <v>0.1077</v>
      </c>
      <c r="AF525" s="137">
        <f t="shared" si="95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hidden="1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687</v>
      </c>
      <c r="G526" s="119" t="s">
        <v>687</v>
      </c>
      <c r="H526" s="119" t="s">
        <v>687</v>
      </c>
      <c r="I526" s="163" t="s">
        <v>202</v>
      </c>
      <c r="J526" s="119" t="s">
        <v>572</v>
      </c>
      <c r="K526" s="119" t="s">
        <v>573</v>
      </c>
      <c r="L526" s="119" t="s">
        <v>687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8"/>
        <v>5565.9678000000004</v>
      </c>
      <c r="U526" s="137">
        <f t="shared" si="102"/>
        <v>283864.3578</v>
      </c>
      <c r="V526" s="137">
        <v>273981.39</v>
      </c>
      <c r="W526" s="137">
        <f t="shared" si="103"/>
        <v>9882.967799999984</v>
      </c>
      <c r="X526" s="137">
        <f t="shared" si="99"/>
        <v>9689.1841176470425</v>
      </c>
      <c r="Y526" s="137">
        <f t="shared" si="104"/>
        <v>193.78368235294147</v>
      </c>
      <c r="Z526" s="137">
        <v>328672.46000000002</v>
      </c>
      <c r="AA526" s="137">
        <f t="shared" si="100"/>
        <v>-9882.9745000000112</v>
      </c>
      <c r="AB526" s="146">
        <f>(Z526-Q526)/(1+N526)</f>
        <v>278298.39656862745</v>
      </c>
      <c r="AC526" s="147">
        <f t="shared" si="101"/>
        <v>50374.063431372575</v>
      </c>
      <c r="AD526" s="137">
        <f t="shared" si="97"/>
        <v>322190.16846200102</v>
      </c>
      <c r="AE526" s="138">
        <v>0.1077</v>
      </c>
      <c r="AF526" s="137">
        <f t="shared" si="95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688</v>
      </c>
      <c r="G527" s="119" t="s">
        <v>688</v>
      </c>
      <c r="H527" s="119" t="s">
        <v>688</v>
      </c>
      <c r="I527" s="163" t="s">
        <v>202</v>
      </c>
      <c r="J527" s="119" t="s">
        <v>572</v>
      </c>
      <c r="K527" s="119" t="s">
        <v>573</v>
      </c>
      <c r="L527" s="119" t="s">
        <v>689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8"/>
        <v>380.6</v>
      </c>
      <c r="U527" s="137">
        <f t="shared" si="102"/>
        <v>19410.599999999999</v>
      </c>
      <c r="V527" s="137">
        <v>20000</v>
      </c>
      <c r="W527" s="137">
        <f t="shared" si="103"/>
        <v>-589.40000000000146</v>
      </c>
      <c r="X527" s="137">
        <f t="shared" si="99"/>
        <v>-577.84313725490335</v>
      </c>
      <c r="Y527" s="137">
        <f t="shared" si="104"/>
        <v>-11.556862745098101</v>
      </c>
      <c r="Z527" s="137">
        <v>28698.02</v>
      </c>
      <c r="AA527" s="137">
        <f t="shared" si="100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1"/>
        <v>10041.157254901962</v>
      </c>
      <c r="AD527" s="137">
        <f t="shared" si="97"/>
        <v>28132.019026863018</v>
      </c>
      <c r="AE527" s="138">
        <v>0.1077</v>
      </c>
      <c r="AF527" s="137">
        <f t="shared" si="95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hidden="1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688</v>
      </c>
      <c r="G528" s="119" t="s">
        <v>688</v>
      </c>
      <c r="H528" s="119" t="s">
        <v>688</v>
      </c>
      <c r="I528" s="163" t="s">
        <v>202</v>
      </c>
      <c r="J528" s="119" t="s">
        <v>572</v>
      </c>
      <c r="K528" s="119" t="s">
        <v>573</v>
      </c>
      <c r="L528" s="119" t="s">
        <v>689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8"/>
        <v>77.600000000000009</v>
      </c>
      <c r="U528" s="137">
        <f t="shared" si="102"/>
        <v>1047.5999999999999</v>
      </c>
      <c r="V528" s="137">
        <v>0</v>
      </c>
      <c r="W528" s="137">
        <f t="shared" si="103"/>
        <v>1047.5999999999999</v>
      </c>
      <c r="X528" s="137">
        <f t="shared" si="99"/>
        <v>969.99999999999989</v>
      </c>
      <c r="Y528" s="137">
        <f t="shared" si="104"/>
        <v>77.600000000000023</v>
      </c>
      <c r="Z528" s="137">
        <v>970</v>
      </c>
      <c r="AA528" s="137">
        <f t="shared" si="100"/>
        <v>-970</v>
      </c>
      <c r="AB528" s="146">
        <f t="shared" ref="AB528:AB533" si="105">IF(O528="返货",Z528/(1+N528),IF(O528="返现",Z528,IF(O528="折扣",Z528*N528,IF(O528="无",Z528))))</f>
        <v>898.14814814814804</v>
      </c>
      <c r="AC528" s="147">
        <f t="shared" si="101"/>
        <v>71.851851851851961</v>
      </c>
      <c r="AD528" s="137">
        <f t="shared" si="97"/>
        <v>950.86903054834886</v>
      </c>
      <c r="AE528" s="138">
        <v>0.31559999999999999</v>
      </c>
      <c r="AF528" s="137">
        <f t="shared" si="95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hidden="1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685</v>
      </c>
      <c r="G529" s="119" t="s">
        <v>685</v>
      </c>
      <c r="H529" s="119" t="s">
        <v>685</v>
      </c>
      <c r="I529" s="163" t="s">
        <v>202</v>
      </c>
      <c r="J529" s="119" t="s">
        <v>572</v>
      </c>
      <c r="K529" s="119" t="s">
        <v>573</v>
      </c>
      <c r="L529" s="119" t="s">
        <v>685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8"/>
        <v>1169.8976</v>
      </c>
      <c r="U529" s="137">
        <f t="shared" si="102"/>
        <v>30417.337599999999</v>
      </c>
      <c r="V529" s="137">
        <v>0</v>
      </c>
      <c r="W529" s="137">
        <f t="shared" si="103"/>
        <v>30417.337599999999</v>
      </c>
      <c r="X529" s="137">
        <f t="shared" si="99"/>
        <v>29247.439999999999</v>
      </c>
      <c r="Y529" s="137">
        <f t="shared" si="104"/>
        <v>1169.8976000000002</v>
      </c>
      <c r="Z529" s="137">
        <v>29832.39</v>
      </c>
      <c r="AA529" s="137">
        <f t="shared" si="100"/>
        <v>-29832.39</v>
      </c>
      <c r="AB529" s="146">
        <f t="shared" si="105"/>
        <v>28684.990384615383</v>
      </c>
      <c r="AC529" s="147">
        <f t="shared" si="101"/>
        <v>1147.3996153846165</v>
      </c>
      <c r="AD529" s="137">
        <f t="shared" ref="AD529:AD557" si="106">Z529*0.980277351080772</f>
        <v>29244.016245608509</v>
      </c>
      <c r="AE529" s="138">
        <v>0.31559999999999999</v>
      </c>
      <c r="AF529" s="137">
        <f t="shared" si="95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683</v>
      </c>
      <c r="G530" s="119" t="s">
        <v>684</v>
      </c>
      <c r="H530" s="119" t="s">
        <v>684</v>
      </c>
      <c r="I530" s="163" t="s">
        <v>202</v>
      </c>
      <c r="J530" s="119" t="s">
        <v>572</v>
      </c>
      <c r="K530" s="119" t="s">
        <v>573</v>
      </c>
      <c r="L530" s="119" t="s">
        <v>683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8"/>
        <v>1120</v>
      </c>
      <c r="U530" s="137">
        <f t="shared" si="102"/>
        <v>15120</v>
      </c>
      <c r="V530" s="137">
        <v>0</v>
      </c>
      <c r="W530" s="137">
        <f t="shared" si="103"/>
        <v>15120</v>
      </c>
      <c r="X530" s="137">
        <f t="shared" si="99"/>
        <v>13999.999999999998</v>
      </c>
      <c r="Y530" s="137">
        <f t="shared" si="104"/>
        <v>1120.0000000000018</v>
      </c>
      <c r="Z530" s="137">
        <v>14000</v>
      </c>
      <c r="AA530" s="137">
        <f t="shared" si="100"/>
        <v>-14000</v>
      </c>
      <c r="AB530" s="146">
        <f t="shared" si="105"/>
        <v>12962.962962962962</v>
      </c>
      <c r="AC530" s="147">
        <f t="shared" si="101"/>
        <v>1037.0370370370383</v>
      </c>
      <c r="AD530" s="137">
        <f t="shared" si="106"/>
        <v>13723.882915130807</v>
      </c>
      <c r="AE530" s="138">
        <v>0.31559999999999999</v>
      </c>
      <c r="AF530" s="137">
        <f t="shared" si="95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hidden="1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690</v>
      </c>
      <c r="G531" s="119" t="s">
        <v>690</v>
      </c>
      <c r="H531" s="119" t="s">
        <v>690</v>
      </c>
      <c r="I531" s="163" t="s">
        <v>202</v>
      </c>
      <c r="J531" s="119" t="s">
        <v>572</v>
      </c>
      <c r="K531" s="119" t="s">
        <v>573</v>
      </c>
      <c r="L531" s="119" t="s">
        <v>690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8"/>
        <v>604.96360000000004</v>
      </c>
      <c r="U531" s="137">
        <f t="shared" si="102"/>
        <v>15729.053599999999</v>
      </c>
      <c r="V531" s="137">
        <v>15426.57</v>
      </c>
      <c r="W531" s="137">
        <f t="shared" si="103"/>
        <v>302.48359999999957</v>
      </c>
      <c r="X531" s="137">
        <f t="shared" si="99"/>
        <v>290.84961538461494</v>
      </c>
      <c r="Y531" s="137">
        <f t="shared" si="104"/>
        <v>11.633984615384634</v>
      </c>
      <c r="Z531" s="137">
        <v>15426.57</v>
      </c>
      <c r="AA531" s="137">
        <f t="shared" si="100"/>
        <v>0</v>
      </c>
      <c r="AB531" s="146">
        <f t="shared" si="105"/>
        <v>14833.240384615383</v>
      </c>
      <c r="AC531" s="147">
        <f t="shared" si="101"/>
        <v>593.32961538461677</v>
      </c>
      <c r="AD531" s="137">
        <f t="shared" si="106"/>
        <v>15122.317175862105</v>
      </c>
      <c r="AE531" s="138">
        <v>0.1077</v>
      </c>
      <c r="AF531" s="137">
        <f t="shared" si="95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hidden="1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691</v>
      </c>
      <c r="G532" s="119" t="s">
        <v>692</v>
      </c>
      <c r="H532" s="119" t="s">
        <v>693</v>
      </c>
      <c r="I532" s="163" t="s">
        <v>202</v>
      </c>
      <c r="J532" s="119" t="s">
        <v>572</v>
      </c>
      <c r="K532" s="119" t="s">
        <v>573</v>
      </c>
      <c r="L532" s="119" t="s">
        <v>691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8"/>
        <v>1930.4290000000001</v>
      </c>
      <c r="U532" s="137">
        <f t="shared" si="102"/>
        <v>98451.879000000001</v>
      </c>
      <c r="V532" s="137">
        <v>112200</v>
      </c>
      <c r="W532" s="137">
        <f t="shared" si="103"/>
        <v>-13748.120999999999</v>
      </c>
      <c r="X532" s="137">
        <f t="shared" si="99"/>
        <v>-13478.55</v>
      </c>
      <c r="Y532" s="137">
        <f t="shared" si="104"/>
        <v>-269.57099999999991</v>
      </c>
      <c r="Z532" s="137">
        <v>98451.88</v>
      </c>
      <c r="AA532" s="137">
        <f t="shared" si="100"/>
        <v>13748.119999999995</v>
      </c>
      <c r="AB532" s="146">
        <f t="shared" si="105"/>
        <v>96521.450980392154</v>
      </c>
      <c r="AC532" s="147">
        <f t="shared" si="101"/>
        <v>1930.4290196078509</v>
      </c>
      <c r="AD532" s="137">
        <f t="shared" si="106"/>
        <v>96510.14813532203</v>
      </c>
      <c r="AE532" s="138">
        <v>0.1077</v>
      </c>
      <c r="AF532" s="137">
        <f t="shared" si="95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hidden="1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691</v>
      </c>
      <c r="G533" s="119" t="s">
        <v>692</v>
      </c>
      <c r="H533" s="119" t="s">
        <v>693</v>
      </c>
      <c r="I533" s="163" t="s">
        <v>202</v>
      </c>
      <c r="J533" s="119" t="s">
        <v>572</v>
      </c>
      <c r="K533" s="119" t="s">
        <v>573</v>
      </c>
      <c r="L533" s="119" t="s">
        <v>691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8"/>
        <v>125.60799999999999</v>
      </c>
      <c r="U533" s="137">
        <f t="shared" si="102"/>
        <v>1695.7079999999999</v>
      </c>
      <c r="V533" s="137">
        <v>0</v>
      </c>
      <c r="W533" s="137">
        <f t="shared" si="103"/>
        <v>1695.7079999999999</v>
      </c>
      <c r="X533" s="137">
        <f t="shared" si="99"/>
        <v>1570.0999999999997</v>
      </c>
      <c r="Y533" s="137">
        <f t="shared" si="104"/>
        <v>125.60800000000017</v>
      </c>
      <c r="Z533" s="137">
        <v>1601.5</v>
      </c>
      <c r="AA533" s="137">
        <f t="shared" si="100"/>
        <v>-1601.5</v>
      </c>
      <c r="AB533" s="146">
        <f t="shared" si="105"/>
        <v>1482.8703703703702</v>
      </c>
      <c r="AC533" s="147">
        <f t="shared" si="101"/>
        <v>118.62962962962979</v>
      </c>
      <c r="AD533" s="137">
        <f t="shared" si="106"/>
        <v>1569.9141777558564</v>
      </c>
      <c r="AE533" s="138">
        <v>0.31559999999999999</v>
      </c>
      <c r="AF533" s="137">
        <f t="shared" si="95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hidden="1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572</v>
      </c>
      <c r="K534" s="119" t="s">
        <v>573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8"/>
        <v>4600</v>
      </c>
      <c r="U534" s="137">
        <f t="shared" si="102"/>
        <v>234600</v>
      </c>
      <c r="V534" s="137">
        <v>337400</v>
      </c>
      <c r="W534" s="137">
        <f t="shared" si="103"/>
        <v>-102800</v>
      </c>
      <c r="X534" s="137">
        <f t="shared" si="99"/>
        <v>-100784.3137254902</v>
      </c>
      <c r="Y534" s="137">
        <f t="shared" si="104"/>
        <v>-2015.6862745098042</v>
      </c>
      <c r="Z534" s="137">
        <v>306257.03000000003</v>
      </c>
      <c r="AA534" s="137">
        <f t="shared" si="100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1"/>
        <v>17160.791019607859</v>
      </c>
      <c r="AD534" s="137">
        <f t="shared" si="106"/>
        <v>300216.83011826454</v>
      </c>
      <c r="AE534" s="138">
        <v>0.1077</v>
      </c>
      <c r="AF534" s="137">
        <f t="shared" si="95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hidden="1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572</v>
      </c>
      <c r="K535" s="119" t="s">
        <v>573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8"/>
        <v>0</v>
      </c>
      <c r="U535" s="137">
        <f t="shared" si="102"/>
        <v>0</v>
      </c>
      <c r="V535" s="137">
        <v>0</v>
      </c>
      <c r="W535" s="137">
        <f t="shared" si="103"/>
        <v>0</v>
      </c>
      <c r="X535" s="137">
        <f t="shared" si="99"/>
        <v>0</v>
      </c>
      <c r="Y535" s="137">
        <f t="shared" si="104"/>
        <v>0</v>
      </c>
      <c r="Z535" s="137">
        <v>0</v>
      </c>
      <c r="AA535" s="137">
        <f t="shared" si="100"/>
        <v>0</v>
      </c>
      <c r="AB535" s="146">
        <f>IF(O535="返货",Z535/(1+N535),IF(O535="返现",Z535,IF(O535="折扣",Z535*N535,IF(O535="无",Z535))))</f>
        <v>0</v>
      </c>
      <c r="AC535" s="147">
        <f t="shared" si="101"/>
        <v>0</v>
      </c>
      <c r="AD535" s="137">
        <f t="shared" si="106"/>
        <v>0</v>
      </c>
      <c r="AE535" s="138">
        <v>0.31559999999999999</v>
      </c>
      <c r="AF535" s="137">
        <f t="shared" si="95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hidden="1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694</v>
      </c>
      <c r="G536" s="119" t="s">
        <v>694</v>
      </c>
      <c r="H536" s="119" t="s">
        <v>694</v>
      </c>
      <c r="I536" s="163" t="s">
        <v>202</v>
      </c>
      <c r="J536" s="119" t="s">
        <v>572</v>
      </c>
      <c r="K536" s="119" t="s">
        <v>573</v>
      </c>
      <c r="L536" s="119" t="s">
        <v>695</v>
      </c>
      <c r="M536" s="119" t="s">
        <v>45</v>
      </c>
      <c r="N536" s="136">
        <v>0.05</v>
      </c>
      <c r="O536" s="135" t="s">
        <v>50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8"/>
        <v>61028.531999999999</v>
      </c>
      <c r="U536" s="137">
        <f t="shared" si="102"/>
        <v>1281599.1719999998</v>
      </c>
      <c r="V536" s="137">
        <v>1342481.32</v>
      </c>
      <c r="W536" s="137">
        <f t="shared" si="103"/>
        <v>-60882.148000000278</v>
      </c>
      <c r="X536" s="137">
        <f t="shared" si="99"/>
        <v>-57982.998095238356</v>
      </c>
      <c r="Y536" s="137">
        <f t="shared" si="104"/>
        <v>-2899.1499047619218</v>
      </c>
      <c r="Z536" s="137">
        <v>1220570.6499999999</v>
      </c>
      <c r="AA536" s="137">
        <f t="shared" si="100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1"/>
        <v>63139.640476190485</v>
      </c>
      <c r="AD536" s="137">
        <f t="shared" si="106"/>
        <v>1196497.7635889358</v>
      </c>
      <c r="AE536" s="138">
        <v>0.1077</v>
      </c>
      <c r="AF536" s="137">
        <f t="shared" si="95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hidden="1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694</v>
      </c>
      <c r="G537" s="119" t="s">
        <v>694</v>
      </c>
      <c r="H537" s="119" t="s">
        <v>694</v>
      </c>
      <c r="I537" s="163" t="s">
        <v>202</v>
      </c>
      <c r="J537" s="119" t="s">
        <v>572</v>
      </c>
      <c r="K537" s="119" t="s">
        <v>573</v>
      </c>
      <c r="L537" s="119" t="s">
        <v>695</v>
      </c>
      <c r="M537" s="119" t="s">
        <v>183</v>
      </c>
      <c r="N537" s="136">
        <v>0.15</v>
      </c>
      <c r="O537" s="135" t="s">
        <v>492</v>
      </c>
      <c r="P537" s="135"/>
      <c r="Q537" s="137">
        <v>0</v>
      </c>
      <c r="R537" s="137">
        <v>0</v>
      </c>
      <c r="S537" s="137">
        <v>177328.53</v>
      </c>
      <c r="T537" s="137">
        <f t="shared" si="98"/>
        <v>26599.279500000001</v>
      </c>
      <c r="U537" s="137">
        <f t="shared" si="102"/>
        <v>203927.8095</v>
      </c>
      <c r="V537" s="137">
        <v>0</v>
      </c>
      <c r="W537" s="137">
        <f t="shared" si="103"/>
        <v>203927.8095</v>
      </c>
      <c r="X537" s="137">
        <f t="shared" si="99"/>
        <v>177328.53000000003</v>
      </c>
      <c r="Y537" s="137">
        <f t="shared" si="104"/>
        <v>26599.279499999975</v>
      </c>
      <c r="Z537" s="137">
        <v>177328.55</v>
      </c>
      <c r="AA537" s="137">
        <f t="shared" si="100"/>
        <v>-177328.55</v>
      </c>
      <c r="AB537" s="146">
        <f>IF(O537="返货",Z537/(1+N537),IF(O537="返现",Z537,IF(O537="折扣",Z537*N537,IF(O537="无",Z537))))</f>
        <v>177328.55</v>
      </c>
      <c r="AC537" s="147">
        <f t="shared" si="101"/>
        <v>26599.282499999998</v>
      </c>
      <c r="AD537" s="137">
        <f t="shared" si="106"/>
        <v>173831.16126499421</v>
      </c>
      <c r="AE537" s="138">
        <v>0.31559999999999999</v>
      </c>
      <c r="AF537" s="137">
        <f t="shared" si="95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696</v>
      </c>
      <c r="G538" s="119" t="s">
        <v>696</v>
      </c>
      <c r="H538" s="119" t="s">
        <v>696</v>
      </c>
      <c r="I538" s="163" t="s">
        <v>202</v>
      </c>
      <c r="J538" s="119" t="s">
        <v>572</v>
      </c>
      <c r="K538" s="119" t="s">
        <v>573</v>
      </c>
      <c r="L538" s="119" t="s">
        <v>697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8"/>
        <v>67236.841</v>
      </c>
      <c r="U538" s="137">
        <f t="shared" si="102"/>
        <v>3429078.8909999998</v>
      </c>
      <c r="V538" s="137">
        <v>3863826.04</v>
      </c>
      <c r="W538" s="137">
        <f t="shared" si="103"/>
        <v>-434747.14900000021</v>
      </c>
      <c r="X538" s="137">
        <f t="shared" si="99"/>
        <v>-426222.6950980394</v>
      </c>
      <c r="Y538" s="137">
        <f t="shared" si="104"/>
        <v>-8524.4539019608055</v>
      </c>
      <c r="Z538" s="137">
        <v>3598189.41</v>
      </c>
      <c r="AA538" s="137">
        <f t="shared" si="100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1"/>
        <v>236347.36098039243</v>
      </c>
      <c r="AD538" s="137">
        <f t="shared" si="106"/>
        <v>3527223.583521686</v>
      </c>
      <c r="AE538" s="138">
        <v>0.1077</v>
      </c>
      <c r="AF538" s="137">
        <f t="shared" si="95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hidden="1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696</v>
      </c>
      <c r="G539" s="119" t="s">
        <v>696</v>
      </c>
      <c r="H539" s="119" t="s">
        <v>696</v>
      </c>
      <c r="I539" s="163" t="s">
        <v>202</v>
      </c>
      <c r="J539" s="119" t="s">
        <v>572</v>
      </c>
      <c r="K539" s="119" t="s">
        <v>573</v>
      </c>
      <c r="L539" s="119" t="s">
        <v>697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8"/>
        <v>19035.2264</v>
      </c>
      <c r="U539" s="137">
        <f t="shared" si="102"/>
        <v>256975.5564</v>
      </c>
      <c r="V539" s="137">
        <v>0</v>
      </c>
      <c r="W539" s="137">
        <f t="shared" si="103"/>
        <v>256975.5564</v>
      </c>
      <c r="X539" s="137">
        <f t="shared" si="99"/>
        <v>237940.33</v>
      </c>
      <c r="Y539" s="137">
        <f t="shared" si="104"/>
        <v>19035.226400000014</v>
      </c>
      <c r="Z539" s="137">
        <v>389197.18</v>
      </c>
      <c r="AA539" s="137">
        <f t="shared" si="100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1"/>
        <v>153420.97629629631</v>
      </c>
      <c r="AD539" s="137">
        <f t="shared" si="106"/>
        <v>381521.1806585064</v>
      </c>
      <c r="AE539" s="138">
        <v>0.31559999999999999</v>
      </c>
      <c r="AF539" s="137">
        <f t="shared" si="95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hidden="1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448</v>
      </c>
      <c r="G540" s="119" t="s">
        <v>448</v>
      </c>
      <c r="H540" s="119" t="s">
        <v>448</v>
      </c>
      <c r="I540" s="163" t="s">
        <v>202</v>
      </c>
      <c r="J540" s="119" t="s">
        <v>572</v>
      </c>
      <c r="K540" s="119" t="s">
        <v>573</v>
      </c>
      <c r="L540" s="119" t="s">
        <v>448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8"/>
        <v>62.617600000000003</v>
      </c>
      <c r="U540" s="137">
        <f t="shared" si="102"/>
        <v>3193.4976000000001</v>
      </c>
      <c r="V540" s="137">
        <v>10200</v>
      </c>
      <c r="W540" s="137">
        <f t="shared" si="103"/>
        <v>-7006.5023999999994</v>
      </c>
      <c r="X540" s="137">
        <f t="shared" si="99"/>
        <v>-6869.119999999999</v>
      </c>
      <c r="Y540" s="137">
        <f t="shared" si="104"/>
        <v>-137.38240000000042</v>
      </c>
      <c r="Z540" s="137">
        <v>3193.5</v>
      </c>
      <c r="AA540" s="137">
        <f t="shared" si="100"/>
        <v>7006.5</v>
      </c>
      <c r="AB540" s="146">
        <f t="shared" ref="AB540:AB545" si="107">IF(O540="返货",Z540/(1+N540),IF(O540="返现",Z540,IF(O540="折扣",Z540*N540,IF(O540="无",Z540))))</f>
        <v>3130.8823529411766</v>
      </c>
      <c r="AC540" s="147">
        <f t="shared" si="101"/>
        <v>62.617647058823422</v>
      </c>
      <c r="AD540" s="137">
        <f t="shared" si="106"/>
        <v>3130.5157206764452</v>
      </c>
      <c r="AE540" s="138">
        <v>0.1077</v>
      </c>
      <c r="AF540" s="137">
        <f t="shared" si="95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hidden="1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448</v>
      </c>
      <c r="G541" s="119" t="s">
        <v>448</v>
      </c>
      <c r="H541" s="119" t="s">
        <v>448</v>
      </c>
      <c r="I541" s="163" t="s">
        <v>202</v>
      </c>
      <c r="J541" s="119" t="s">
        <v>572</v>
      </c>
      <c r="K541" s="119" t="s">
        <v>573</v>
      </c>
      <c r="L541" s="119" t="s">
        <v>448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8"/>
        <v>13.654200000000001</v>
      </c>
      <c r="U541" s="137">
        <f t="shared" si="102"/>
        <v>696.36419999999998</v>
      </c>
      <c r="V541" s="137">
        <v>0</v>
      </c>
      <c r="W541" s="137">
        <f t="shared" si="103"/>
        <v>696.36419999999998</v>
      </c>
      <c r="X541" s="137">
        <f t="shared" si="99"/>
        <v>682.70999999999992</v>
      </c>
      <c r="Y541" s="137">
        <f t="shared" si="104"/>
        <v>13.65420000000006</v>
      </c>
      <c r="Z541" s="137">
        <v>696.36</v>
      </c>
      <c r="AA541" s="137">
        <f t="shared" si="100"/>
        <v>-696.36</v>
      </c>
      <c r="AB541" s="146">
        <f t="shared" si="107"/>
        <v>682.70588235294122</v>
      </c>
      <c r="AC541" s="147">
        <f t="shared" si="101"/>
        <v>13.654117647058797</v>
      </c>
      <c r="AD541" s="137">
        <f t="shared" si="106"/>
        <v>682.62593619860638</v>
      </c>
      <c r="AE541" s="138">
        <v>0.31559999999999999</v>
      </c>
      <c r="AF541" s="137">
        <f t="shared" si="95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hidden="1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698</v>
      </c>
      <c r="H542" s="119" t="s">
        <v>698</v>
      </c>
      <c r="I542" s="163" t="s">
        <v>202</v>
      </c>
      <c r="J542" s="119" t="s">
        <v>572</v>
      </c>
      <c r="K542" s="119" t="s">
        <v>573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8"/>
        <v>6462.6107999999995</v>
      </c>
      <c r="U542" s="137">
        <f t="shared" si="102"/>
        <v>329593.1508</v>
      </c>
      <c r="V542" s="137">
        <v>357000</v>
      </c>
      <c r="W542" s="137">
        <f t="shared" si="103"/>
        <v>-27406.849199999997</v>
      </c>
      <c r="X542" s="137">
        <f t="shared" si="99"/>
        <v>-26869.459999999995</v>
      </c>
      <c r="Y542" s="137">
        <f t="shared" si="104"/>
        <v>-537.38920000000144</v>
      </c>
      <c r="Z542" s="137">
        <v>329593.15000000002</v>
      </c>
      <c r="AA542" s="137">
        <f t="shared" si="100"/>
        <v>27406.849999999977</v>
      </c>
      <c r="AB542" s="146">
        <f t="shared" si="107"/>
        <v>323130.53921568627</v>
      </c>
      <c r="AC542" s="147">
        <f t="shared" si="101"/>
        <v>6462.6107843137579</v>
      </c>
      <c r="AD542" s="137">
        <f t="shared" si="106"/>
        <v>323092.70001636754</v>
      </c>
      <c r="AE542" s="138">
        <v>0.1077</v>
      </c>
      <c r="AF542" s="137">
        <f t="shared" si="95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hidden="1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119" t="s">
        <v>321</v>
      </c>
      <c r="G543" s="119" t="s">
        <v>698</v>
      </c>
      <c r="H543" s="119" t="s">
        <v>698</v>
      </c>
      <c r="I543" s="163" t="s">
        <v>202</v>
      </c>
      <c r="J543" s="119" t="s">
        <v>572</v>
      </c>
      <c r="K543" s="119" t="s">
        <v>573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8"/>
        <v>0</v>
      </c>
      <c r="U543" s="137">
        <f t="shared" si="102"/>
        <v>50000</v>
      </c>
      <c r="V543" s="137">
        <v>50000</v>
      </c>
      <c r="W543" s="137">
        <f t="shared" si="103"/>
        <v>0</v>
      </c>
      <c r="X543" s="137">
        <f t="shared" si="99"/>
        <v>0</v>
      </c>
      <c r="Y543" s="137">
        <f t="shared" si="104"/>
        <v>0</v>
      </c>
      <c r="Z543" s="137">
        <v>50000</v>
      </c>
      <c r="AA543" s="137">
        <f t="shared" si="100"/>
        <v>0</v>
      </c>
      <c r="AB543" s="146">
        <f t="shared" si="107"/>
        <v>50000</v>
      </c>
      <c r="AC543" s="147">
        <f t="shared" si="101"/>
        <v>0</v>
      </c>
      <c r="AD543" s="137">
        <f t="shared" si="106"/>
        <v>49013.867554038596</v>
      </c>
      <c r="AE543" s="138">
        <v>0.1077</v>
      </c>
      <c r="AF543" s="137">
        <f t="shared" si="95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hidden="1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452</v>
      </c>
      <c r="G544" s="119" t="s">
        <v>452</v>
      </c>
      <c r="H544" s="119" t="s">
        <v>452</v>
      </c>
      <c r="I544" s="163" t="s">
        <v>202</v>
      </c>
      <c r="J544" s="119" t="s">
        <v>572</v>
      </c>
      <c r="K544" s="119" t="s">
        <v>573</v>
      </c>
      <c r="L544" s="119" t="s">
        <v>699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8"/>
        <v>10445.800000000001</v>
      </c>
      <c r="U544" s="137">
        <f t="shared" si="102"/>
        <v>271590.8</v>
      </c>
      <c r="V544" s="137">
        <v>0</v>
      </c>
      <c r="W544" s="137">
        <f t="shared" si="103"/>
        <v>271590.8</v>
      </c>
      <c r="X544" s="137">
        <f t="shared" si="99"/>
        <v>261144.99999999997</v>
      </c>
      <c r="Y544" s="137">
        <f t="shared" si="104"/>
        <v>10445.800000000017</v>
      </c>
      <c r="Z544" s="137">
        <v>278709.58</v>
      </c>
      <c r="AA544" s="137">
        <f t="shared" si="100"/>
        <v>-278709.58</v>
      </c>
      <c r="AB544" s="146">
        <f t="shared" si="107"/>
        <v>267989.98076923075</v>
      </c>
      <c r="AC544" s="147">
        <f t="shared" si="101"/>
        <v>10719.599230769265</v>
      </c>
      <c r="AD544" s="137">
        <f t="shared" si="106"/>
        <v>273212.68880323455</v>
      </c>
      <c r="AE544" s="138">
        <v>0.31559999999999999</v>
      </c>
      <c r="AF544" s="137">
        <f t="shared" si="95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hidden="1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452</v>
      </c>
      <c r="G545" s="119" t="s">
        <v>452</v>
      </c>
      <c r="H545" s="119" t="s">
        <v>452</v>
      </c>
      <c r="I545" s="163" t="s">
        <v>202</v>
      </c>
      <c r="J545" s="119" t="s">
        <v>572</v>
      </c>
      <c r="K545" s="119" t="s">
        <v>573</v>
      </c>
      <c r="L545" s="119" t="s">
        <v>699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8"/>
        <v>152192.6776</v>
      </c>
      <c r="U545" s="137">
        <f t="shared" si="102"/>
        <v>3957009.6176</v>
      </c>
      <c r="V545" s="137">
        <v>4235719.2</v>
      </c>
      <c r="W545" s="137">
        <f t="shared" si="103"/>
        <v>-278709.58240000019</v>
      </c>
      <c r="X545" s="137">
        <f t="shared" si="99"/>
        <v>-267989.98307692324</v>
      </c>
      <c r="Y545" s="137">
        <f t="shared" si="104"/>
        <v>-10719.599323076953</v>
      </c>
      <c r="Z545" s="137">
        <v>3957009.61</v>
      </c>
      <c r="AA545" s="137">
        <f t="shared" si="100"/>
        <v>278709.59000000032</v>
      </c>
      <c r="AB545" s="146">
        <f t="shared" si="107"/>
        <v>3804816.9326923075</v>
      </c>
      <c r="AC545" s="147">
        <f t="shared" si="101"/>
        <v>152192.67730769236</v>
      </c>
      <c r="AD545" s="137">
        <f t="shared" si="106"/>
        <v>3878966.8986919583</v>
      </c>
      <c r="AE545" s="138">
        <v>0.1077</v>
      </c>
      <c r="AF545" s="137">
        <f t="shared" si="95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hidden="1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453</v>
      </c>
      <c r="G546" s="119" t="s">
        <v>453</v>
      </c>
      <c r="H546" s="119" t="s">
        <v>453</v>
      </c>
      <c r="I546" s="163" t="s">
        <v>202</v>
      </c>
      <c r="J546" s="119" t="s">
        <v>572</v>
      </c>
      <c r="K546" s="119" t="s">
        <v>573</v>
      </c>
      <c r="L546" s="119" t="s">
        <v>453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8"/>
        <v>955.99020000000007</v>
      </c>
      <c r="U546" s="137">
        <f t="shared" si="102"/>
        <v>48755.500200000002</v>
      </c>
      <c r="V546" s="137">
        <v>47799.51</v>
      </c>
      <c r="W546" s="137">
        <f t="shared" si="103"/>
        <v>955.99020000000019</v>
      </c>
      <c r="X546" s="137">
        <f t="shared" si="99"/>
        <v>937.24529411764718</v>
      </c>
      <c r="Y546" s="137">
        <f t="shared" si="104"/>
        <v>18.744905882353009</v>
      </c>
      <c r="Z546" s="137">
        <v>88771.96</v>
      </c>
      <c r="AA546" s="137">
        <f t="shared" si="100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1"/>
        <v>41897.342352941174</v>
      </c>
      <c r="AD546" s="137">
        <f t="shared" si="106"/>
        <v>87021.141799048259</v>
      </c>
      <c r="AE546" s="138">
        <v>0.1077</v>
      </c>
      <c r="AF546" s="137">
        <f t="shared" si="95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hidden="1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700</v>
      </c>
      <c r="G547" s="119" t="s">
        <v>700</v>
      </c>
      <c r="H547" s="119" t="s">
        <v>700</v>
      </c>
      <c r="I547" s="163" t="s">
        <v>202</v>
      </c>
      <c r="J547" s="119" t="s">
        <v>572</v>
      </c>
      <c r="K547" s="119" t="s">
        <v>573</v>
      </c>
      <c r="L547" s="119" t="s">
        <v>700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8"/>
        <v>208.17840000000001</v>
      </c>
      <c r="U547" s="137">
        <f t="shared" si="102"/>
        <v>10617.098400000001</v>
      </c>
      <c r="V547" s="137">
        <v>0</v>
      </c>
      <c r="W547" s="137">
        <f t="shared" si="103"/>
        <v>10617.098400000001</v>
      </c>
      <c r="X547" s="137">
        <f t="shared" si="99"/>
        <v>10408.92</v>
      </c>
      <c r="Y547" s="137">
        <f t="shared" si="104"/>
        <v>208.17840000000069</v>
      </c>
      <c r="Z547" s="137">
        <v>10617.1</v>
      </c>
      <c r="AA547" s="137">
        <f t="shared" si="100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1"/>
        <v>208.17843137254931</v>
      </c>
      <c r="AD547" s="137">
        <f t="shared" si="106"/>
        <v>10407.702664159664</v>
      </c>
      <c r="AE547" s="138">
        <v>0.31559999999999999</v>
      </c>
      <c r="AF547" s="137">
        <f t="shared" si="95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hidden="1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700</v>
      </c>
      <c r="G548" s="119" t="s">
        <v>700</v>
      </c>
      <c r="H548" s="119" t="s">
        <v>700</v>
      </c>
      <c r="I548" s="163" t="s">
        <v>202</v>
      </c>
      <c r="J548" s="119" t="s">
        <v>572</v>
      </c>
      <c r="K548" s="119" t="s">
        <v>573</v>
      </c>
      <c r="L548" s="119" t="s">
        <v>700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8"/>
        <v>4166.6640000000007</v>
      </c>
      <c r="U548" s="137">
        <f t="shared" si="102"/>
        <v>212499.864</v>
      </c>
      <c r="V548" s="137">
        <v>221600</v>
      </c>
      <c r="W548" s="137">
        <f t="shared" si="103"/>
        <v>-9100.1359999999986</v>
      </c>
      <c r="X548" s="137">
        <f t="shared" si="99"/>
        <v>-8921.7019607843122</v>
      </c>
      <c r="Y548" s="137">
        <f t="shared" si="104"/>
        <v>-178.43403921568643</v>
      </c>
      <c r="Z548" s="137">
        <v>217581.81</v>
      </c>
      <c r="AA548" s="137">
        <f t="shared" si="100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1"/>
        <v>11764.947254901956</v>
      </c>
      <c r="AD548" s="137">
        <f t="shared" si="106"/>
        <v>213290.52035015982</v>
      </c>
      <c r="AE548" s="138">
        <v>0.1077</v>
      </c>
      <c r="AF548" s="137">
        <f t="shared" si="95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701</v>
      </c>
      <c r="G549" s="119" t="s">
        <v>701</v>
      </c>
      <c r="H549" s="119" t="s">
        <v>701</v>
      </c>
      <c r="I549" s="163" t="s">
        <v>202</v>
      </c>
      <c r="J549" s="119" t="s">
        <v>572</v>
      </c>
      <c r="K549" s="119" t="s">
        <v>573</v>
      </c>
      <c r="L549" s="119" t="s">
        <v>702</v>
      </c>
      <c r="M549" s="119" t="s">
        <v>45</v>
      </c>
      <c r="N549" s="136">
        <v>0.03</v>
      </c>
      <c r="O549" s="135" t="s">
        <v>50</v>
      </c>
      <c r="P549" s="135" t="s">
        <v>437</v>
      </c>
      <c r="Q549" s="137">
        <v>0</v>
      </c>
      <c r="R549" s="137">
        <v>0</v>
      </c>
      <c r="S549" s="137">
        <v>379907.47</v>
      </c>
      <c r="T549" s="137">
        <f t="shared" si="98"/>
        <v>11397.224099999999</v>
      </c>
      <c r="U549" s="137">
        <f t="shared" si="102"/>
        <v>391304.69409999996</v>
      </c>
      <c r="V549" s="137">
        <v>441795.77</v>
      </c>
      <c r="W549" s="137">
        <f t="shared" si="103"/>
        <v>-50491.075900000054</v>
      </c>
      <c r="X549" s="137">
        <f t="shared" si="99"/>
        <v>-49020.462038835001</v>
      </c>
      <c r="Y549" s="137">
        <f t="shared" si="104"/>
        <v>-1470.6138611650531</v>
      </c>
      <c r="Z549" s="137">
        <f>426376.05-Z1169</f>
        <v>417.02999999996973</v>
      </c>
      <c r="AA549" s="137">
        <f t="shared" si="100"/>
        <v>441378.74000000005</v>
      </c>
      <c r="AB549" s="146">
        <f t="shared" ref="AB549:AB582" si="108">IF(O549="返货",Z549/(1+N549),IF(O549="返现",Z549,IF(O549="折扣",Z549*N549,IF(O549="无",Z549))))</f>
        <v>404.88349514560167</v>
      </c>
      <c r="AC549" s="147">
        <f t="shared" si="101"/>
        <v>12.146504854368061</v>
      </c>
      <c r="AD549" s="137">
        <f t="shared" si="106"/>
        <v>408.80506372118464</v>
      </c>
      <c r="AE549" s="138">
        <v>0.1077</v>
      </c>
      <c r="AF549" s="137">
        <f t="shared" si="95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701</v>
      </c>
      <c r="G550" s="119" t="s">
        <v>701</v>
      </c>
      <c r="H550" s="119" t="s">
        <v>701</v>
      </c>
      <c r="I550" s="163" t="s">
        <v>202</v>
      </c>
      <c r="J550" s="119" t="s">
        <v>572</v>
      </c>
      <c r="K550" s="119" t="s">
        <v>573</v>
      </c>
      <c r="L550" s="119" t="s">
        <v>702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8"/>
        <v>1466.9107999999999</v>
      </c>
      <c r="U550" s="137">
        <f t="shared" si="102"/>
        <v>38139.680799999995</v>
      </c>
      <c r="V550" s="137">
        <v>0</v>
      </c>
      <c r="W550" s="137">
        <f t="shared" si="103"/>
        <v>38139.680799999995</v>
      </c>
      <c r="X550" s="137">
        <f t="shared" si="99"/>
        <v>36672.769999999997</v>
      </c>
      <c r="Y550" s="137">
        <f t="shared" si="104"/>
        <v>1466.9107999999978</v>
      </c>
      <c r="Z550" s="137">
        <v>29601.15</v>
      </c>
      <c r="AA550" s="137">
        <f t="shared" si="100"/>
        <v>-29601.15</v>
      </c>
      <c r="AB550" s="146">
        <f t="shared" si="108"/>
        <v>28462.64423076923</v>
      </c>
      <c r="AC550" s="147">
        <f t="shared" si="101"/>
        <v>1138.505769230771</v>
      </c>
      <c r="AD550" s="137">
        <f t="shared" si="106"/>
        <v>29017.336910944596</v>
      </c>
      <c r="AE550" s="138">
        <v>0.31559999999999999</v>
      </c>
      <c r="AF550" s="137">
        <f t="shared" si="95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572</v>
      </c>
      <c r="K551" s="119" t="s">
        <v>573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437</v>
      </c>
      <c r="Q551" s="137">
        <v>0</v>
      </c>
      <c r="R551" s="137">
        <v>0</v>
      </c>
      <c r="S551" s="137">
        <v>2011008.5</v>
      </c>
      <c r="T551" s="137">
        <f t="shared" si="98"/>
        <v>60330.254999999997</v>
      </c>
      <c r="U551" s="137">
        <f t="shared" si="102"/>
        <v>2071338.7549999999</v>
      </c>
      <c r="V551" s="137">
        <v>5557063.4000000004</v>
      </c>
      <c r="W551" s="137">
        <f t="shared" si="103"/>
        <v>-3485724.6450000005</v>
      </c>
      <c r="X551" s="137">
        <f t="shared" si="99"/>
        <v>-3384198.6844660197</v>
      </c>
      <c r="Y551" s="137">
        <f t="shared" si="104"/>
        <v>-101525.96053398075</v>
      </c>
      <c r="Z551" s="137">
        <v>888329.79</v>
      </c>
      <c r="AA551" s="137">
        <f t="shared" si="100"/>
        <v>4668733.6100000003</v>
      </c>
      <c r="AB551" s="146">
        <f>IF(O551="返货",Z551/(1+N551),IF(O551="返现",Z551,IF(O551="折扣",Z551*N551,IF(O551="无",Z551))))+5461.06</f>
        <v>867917.16679611662</v>
      </c>
      <c r="AC551" s="147">
        <f t="shared" si="101"/>
        <v>20412.623203883413</v>
      </c>
      <c r="AD551" s="137">
        <f t="shared" si="106"/>
        <v>870809.5734273385</v>
      </c>
      <c r="AE551" s="138">
        <v>0.1077</v>
      </c>
      <c r="AF551" s="137">
        <f t="shared" si="95"/>
        <v>93786.191058124357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hidden="1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572</v>
      </c>
      <c r="K552" s="119" t="s">
        <v>573</v>
      </c>
      <c r="L552" s="119" t="s">
        <v>82</v>
      </c>
      <c r="M552" s="119" t="s">
        <v>183</v>
      </c>
      <c r="N552" s="136">
        <v>0.08</v>
      </c>
      <c r="O552" s="135" t="s">
        <v>50</v>
      </c>
      <c r="P552" s="135"/>
      <c r="Q552" s="137">
        <v>0</v>
      </c>
      <c r="R552" s="137">
        <v>0</v>
      </c>
      <c r="S552" s="137">
        <v>3169387.59</v>
      </c>
      <c r="T552" s="137">
        <f t="shared" si="98"/>
        <v>253551.00719999999</v>
      </c>
      <c r="U552" s="137">
        <f t="shared" si="102"/>
        <v>3422938.5971999997</v>
      </c>
      <c r="V552" s="137">
        <v>0</v>
      </c>
      <c r="W552" s="137">
        <f t="shared" si="103"/>
        <v>3422938.5971999997</v>
      </c>
      <c r="X552" s="137">
        <f t="shared" si="99"/>
        <v>3169387.5899999994</v>
      </c>
      <c r="Y552" s="137">
        <f t="shared" si="104"/>
        <v>253551.00720000034</v>
      </c>
      <c r="Z552" s="137">
        <v>1565474.4500000002</v>
      </c>
      <c r="AA552" s="137">
        <f t="shared" si="100"/>
        <v>-1565474.4500000002</v>
      </c>
      <c r="AB552" s="146">
        <f t="shared" si="108"/>
        <v>1449513.3796296297</v>
      </c>
      <c r="AC552" s="147">
        <f t="shared" si="101"/>
        <v>115961.07037037052</v>
      </c>
      <c r="AD552" s="137">
        <f t="shared" si="106"/>
        <v>1534599.1470306285</v>
      </c>
      <c r="AE552" s="138">
        <v>0.31559999999999999</v>
      </c>
      <c r="AF552" s="137">
        <f t="shared" si="95"/>
        <v>484319.49080286635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hidden="1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119" t="s">
        <v>82</v>
      </c>
      <c r="G553" s="119" t="s">
        <v>82</v>
      </c>
      <c r="H553" s="119" t="s">
        <v>82</v>
      </c>
      <c r="I553" s="163" t="s">
        <v>202</v>
      </c>
      <c r="J553" s="119" t="s">
        <v>572</v>
      </c>
      <c r="K553" s="119" t="s">
        <v>573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8"/>
        <v>0</v>
      </c>
      <c r="U553" s="137">
        <f t="shared" si="102"/>
        <v>100000</v>
      </c>
      <c r="V553" s="137">
        <v>100000</v>
      </c>
      <c r="W553" s="137">
        <f t="shared" si="103"/>
        <v>0</v>
      </c>
      <c r="X553" s="137">
        <f t="shared" si="99"/>
        <v>0</v>
      </c>
      <c r="Y553" s="137">
        <f t="shared" si="104"/>
        <v>0</v>
      </c>
      <c r="Z553" s="137">
        <v>100000</v>
      </c>
      <c r="AA553" s="137">
        <f t="shared" si="100"/>
        <v>0</v>
      </c>
      <c r="AB553" s="146">
        <f t="shared" si="108"/>
        <v>100000</v>
      </c>
      <c r="AC553" s="147">
        <f t="shared" si="101"/>
        <v>0</v>
      </c>
      <c r="AD553" s="137">
        <f t="shared" si="106"/>
        <v>98027.735108077191</v>
      </c>
      <c r="AE553" s="138">
        <v>0.1077</v>
      </c>
      <c r="AF553" s="137">
        <f t="shared" si="95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hidden="1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703</v>
      </c>
      <c r="G554" s="119" t="s">
        <v>703</v>
      </c>
      <c r="H554" s="119" t="s">
        <v>703</v>
      </c>
      <c r="I554" s="163" t="s">
        <v>202</v>
      </c>
      <c r="J554" s="119" t="s">
        <v>572</v>
      </c>
      <c r="K554" s="119" t="s">
        <v>573</v>
      </c>
      <c r="L554" s="119" t="s">
        <v>703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8"/>
        <v>0</v>
      </c>
      <c r="U554" s="137">
        <f t="shared" si="102"/>
        <v>6119.27</v>
      </c>
      <c r="V554" s="137">
        <v>0</v>
      </c>
      <c r="W554" s="137">
        <f t="shared" si="103"/>
        <v>6119.27</v>
      </c>
      <c r="X554" s="137">
        <f t="shared" si="99"/>
        <v>6119.27</v>
      </c>
      <c r="Y554" s="137">
        <f t="shared" si="104"/>
        <v>0</v>
      </c>
      <c r="Z554" s="137">
        <v>6241.66</v>
      </c>
      <c r="AA554" s="137">
        <f t="shared" si="100"/>
        <v>-6241.66</v>
      </c>
      <c r="AB554" s="146">
        <f t="shared" si="108"/>
        <v>6241.66</v>
      </c>
      <c r="AC554" s="147">
        <f t="shared" si="101"/>
        <v>0</v>
      </c>
      <c r="AD554" s="137">
        <f t="shared" si="106"/>
        <v>6118.5579311468109</v>
      </c>
      <c r="AE554" s="138">
        <v>0.31559999999999999</v>
      </c>
      <c r="AF554" s="137">
        <f t="shared" si="95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hidden="1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703</v>
      </c>
      <c r="G555" s="119" t="s">
        <v>703</v>
      </c>
      <c r="H555" s="119" t="s">
        <v>703</v>
      </c>
      <c r="I555" s="163" t="s">
        <v>202</v>
      </c>
      <c r="J555" s="119" t="s">
        <v>572</v>
      </c>
      <c r="K555" s="119" t="s">
        <v>573</v>
      </c>
      <c r="L555" s="119" t="s">
        <v>703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8"/>
        <v>0</v>
      </c>
      <c r="U555" s="137">
        <f t="shared" si="102"/>
        <v>3387.55</v>
      </c>
      <c r="V555" s="137">
        <v>10000</v>
      </c>
      <c r="W555" s="137">
        <f t="shared" si="103"/>
        <v>-6612.45</v>
      </c>
      <c r="X555" s="137">
        <f t="shared" si="99"/>
        <v>-6612.45</v>
      </c>
      <c r="Y555" s="137">
        <f t="shared" si="104"/>
        <v>0</v>
      </c>
      <c r="Z555" s="137">
        <v>3455.3</v>
      </c>
      <c r="AA555" s="137">
        <f t="shared" si="100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1"/>
        <v>-303.03999999999996</v>
      </c>
      <c r="AD555" s="137">
        <f t="shared" si="106"/>
        <v>3387.1523311893916</v>
      </c>
      <c r="AE555" s="138">
        <v>0.1077</v>
      </c>
      <c r="AF555" s="137">
        <f t="shared" si="95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704</v>
      </c>
      <c r="G556" s="119" t="s">
        <v>704</v>
      </c>
      <c r="H556" s="119" t="s">
        <v>704</v>
      </c>
      <c r="I556" s="163" t="s">
        <v>202</v>
      </c>
      <c r="J556" s="119" t="s">
        <v>572</v>
      </c>
      <c r="K556" s="119" t="s">
        <v>573</v>
      </c>
      <c r="L556" s="119" t="s">
        <v>705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8"/>
        <v>3210.8964000000001</v>
      </c>
      <c r="U556" s="137">
        <f t="shared" si="102"/>
        <v>29968.366400000003</v>
      </c>
      <c r="V556" s="137">
        <v>0</v>
      </c>
      <c r="W556" s="137">
        <f t="shared" si="103"/>
        <v>29968.366400000003</v>
      </c>
      <c r="X556" s="137">
        <f t="shared" si="99"/>
        <v>26757.47</v>
      </c>
      <c r="Y556" s="137">
        <f t="shared" si="104"/>
        <v>3210.8964000000014</v>
      </c>
      <c r="Z556" s="137">
        <v>9967.41</v>
      </c>
      <c r="AA556" s="137">
        <f t="shared" si="100"/>
        <v>-9967.41</v>
      </c>
      <c r="AB556" s="146">
        <f t="shared" si="108"/>
        <v>8899.4732142857138</v>
      </c>
      <c r="AC556" s="147">
        <f t="shared" si="101"/>
        <v>1067.9367857142861</v>
      </c>
      <c r="AD556" s="137">
        <f t="shared" si="106"/>
        <v>9770.8262719359973</v>
      </c>
      <c r="AE556" s="138">
        <v>0.31559999999999999</v>
      </c>
      <c r="AF556" s="137">
        <f t="shared" si="95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hidden="1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704</v>
      </c>
      <c r="G557" s="119" t="s">
        <v>704</v>
      </c>
      <c r="H557" s="119" t="s">
        <v>704</v>
      </c>
      <c r="I557" s="163" t="s">
        <v>202</v>
      </c>
      <c r="J557" s="119" t="s">
        <v>572</v>
      </c>
      <c r="K557" s="119" t="s">
        <v>573</v>
      </c>
      <c r="L557" s="119" t="s">
        <v>705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8"/>
        <v>-1200</v>
      </c>
      <c r="U557" s="137">
        <f t="shared" si="102"/>
        <v>-21200</v>
      </c>
      <c r="V557" s="137">
        <v>20000</v>
      </c>
      <c r="W557" s="137">
        <f t="shared" si="103"/>
        <v>-41200</v>
      </c>
      <c r="X557" s="137">
        <f t="shared" si="99"/>
        <v>-38867.924528301883</v>
      </c>
      <c r="Y557" s="137">
        <f t="shared" si="104"/>
        <v>-2332.0754716981173</v>
      </c>
      <c r="Z557" s="137">
        <v>0</v>
      </c>
      <c r="AA557" s="137">
        <f t="shared" si="100"/>
        <v>20000</v>
      </c>
      <c r="AB557" s="146">
        <f t="shared" si="108"/>
        <v>0</v>
      </c>
      <c r="AC557" s="147">
        <f t="shared" si="101"/>
        <v>0</v>
      </c>
      <c r="AD557" s="137">
        <f t="shared" si="106"/>
        <v>0</v>
      </c>
      <c r="AE557" s="138">
        <v>0.1077</v>
      </c>
      <c r="AF557" s="137">
        <f t="shared" si="95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hidden="1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600</v>
      </c>
      <c r="K558" s="119" t="s">
        <v>636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8"/>
        <v>208.02580000000003</v>
      </c>
      <c r="U558" s="137">
        <f t="shared" si="102"/>
        <v>10609.3158</v>
      </c>
      <c r="V558" s="137">
        <v>30600</v>
      </c>
      <c r="W558" s="137">
        <f t="shared" si="103"/>
        <v>-19990.6842</v>
      </c>
      <c r="X558" s="137">
        <f t="shared" si="99"/>
        <v>-19598.71</v>
      </c>
      <c r="Y558" s="137">
        <f t="shared" si="104"/>
        <v>-391.97420000000056</v>
      </c>
      <c r="Z558" s="137">
        <v>2646.5</v>
      </c>
      <c r="AA558" s="137">
        <f t="shared" si="100"/>
        <v>27953.5</v>
      </c>
      <c r="AB558" s="146">
        <f t="shared" si="108"/>
        <v>2594.6078431372548</v>
      </c>
      <c r="AC558" s="147">
        <f t="shared" si="101"/>
        <v>51.892156862745196</v>
      </c>
      <c r="AD558" s="137">
        <v>2646.5</v>
      </c>
      <c r="AE558" s="138">
        <v>7.0000000000000007E-2</v>
      </c>
      <c r="AF558" s="137">
        <f t="shared" si="95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hidden="1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572</v>
      </c>
      <c r="K559" s="119" t="s">
        <v>573</v>
      </c>
      <c r="L559" s="119" t="s">
        <v>706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8"/>
        <v>448.42779999999999</v>
      </c>
      <c r="U559" s="137">
        <f t="shared" si="102"/>
        <v>22869.817800000001</v>
      </c>
      <c r="V559" s="137">
        <v>0</v>
      </c>
      <c r="W559" s="137">
        <f t="shared" si="103"/>
        <v>22869.817800000001</v>
      </c>
      <c r="X559" s="137">
        <f t="shared" si="99"/>
        <v>22421.39</v>
      </c>
      <c r="Y559" s="137">
        <f t="shared" si="104"/>
        <v>448.4278000000013</v>
      </c>
      <c r="Z559" s="137">
        <v>12</v>
      </c>
      <c r="AA559" s="137">
        <f t="shared" si="100"/>
        <v>-12</v>
      </c>
      <c r="AB559" s="146">
        <f t="shared" si="108"/>
        <v>11.76470588235294</v>
      </c>
      <c r="AC559" s="147">
        <f t="shared" si="101"/>
        <v>0.23529411764705976</v>
      </c>
      <c r="AD559" s="137">
        <f t="shared" ref="AD559:AD566" si="109">Z559*0.980277351080772</f>
        <v>11.763328212969263</v>
      </c>
      <c r="AE559" s="138">
        <v>0.31559999999999999</v>
      </c>
      <c r="AF559" s="137">
        <f t="shared" ref="AF559:AF622" si="110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hidden="1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572</v>
      </c>
      <c r="K560" s="119" t="s">
        <v>573</v>
      </c>
      <c r="L560" s="119" t="s">
        <v>706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8"/>
        <v>17547.650600000001</v>
      </c>
      <c r="U560" s="137">
        <f t="shared" si="102"/>
        <v>894930.18060000008</v>
      </c>
      <c r="V560" s="137">
        <v>826000</v>
      </c>
      <c r="W560" s="137">
        <f t="shared" si="103"/>
        <v>68930.18060000008</v>
      </c>
      <c r="X560" s="137">
        <f t="shared" si="99"/>
        <v>67578.608431372631</v>
      </c>
      <c r="Y560" s="137">
        <f t="shared" si="104"/>
        <v>1351.5721686274483</v>
      </c>
      <c r="Z560" s="137">
        <v>825988</v>
      </c>
      <c r="AA560" s="137">
        <f t="shared" si="100"/>
        <v>12</v>
      </c>
      <c r="AB560" s="146">
        <f t="shared" si="108"/>
        <v>809792.15686274506</v>
      </c>
      <c r="AC560" s="147">
        <f t="shared" si="101"/>
        <v>16195.843137254938</v>
      </c>
      <c r="AD560" s="137">
        <f t="shared" si="109"/>
        <v>809697.32866450469</v>
      </c>
      <c r="AE560" s="138">
        <v>0.1077</v>
      </c>
      <c r="AF560" s="137">
        <f t="shared" si="110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hidden="1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572</v>
      </c>
      <c r="K561" s="119" t="s">
        <v>573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8"/>
        <v>29339.876400000001</v>
      </c>
      <c r="U561" s="137">
        <f t="shared" si="102"/>
        <v>1496333.6964</v>
      </c>
      <c r="V561" s="137">
        <v>2091977.9</v>
      </c>
      <c r="W561" s="137">
        <f t="shared" si="103"/>
        <v>-595644.20359999989</v>
      </c>
      <c r="X561" s="137">
        <f t="shared" si="99"/>
        <v>-583964.90549019596</v>
      </c>
      <c r="Y561" s="137">
        <f t="shared" si="104"/>
        <v>-11679.298109803931</v>
      </c>
      <c r="Z561" s="137">
        <v>1560196.01</v>
      </c>
      <c r="AA561" s="137">
        <f t="shared" si="100"/>
        <v>531781.8899999999</v>
      </c>
      <c r="AB561" s="146">
        <f t="shared" si="108"/>
        <v>1529603.9313725489</v>
      </c>
      <c r="AC561" s="147">
        <f t="shared" si="101"/>
        <v>30592.07862745109</v>
      </c>
      <c r="AD561" s="137">
        <f t="shared" si="109"/>
        <v>1529424.8118495897</v>
      </c>
      <c r="AE561" s="138">
        <v>0.1077</v>
      </c>
      <c r="AF561" s="137">
        <f t="shared" si="110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hidden="1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119" t="s">
        <v>454</v>
      </c>
      <c r="G562" s="119" t="s">
        <v>707</v>
      </c>
      <c r="H562" s="119" t="s">
        <v>707</v>
      </c>
      <c r="I562" s="163" t="s">
        <v>202</v>
      </c>
      <c r="J562" s="119" t="s">
        <v>572</v>
      </c>
      <c r="K562" s="119" t="s">
        <v>573</v>
      </c>
      <c r="L562" s="119" t="s">
        <v>454</v>
      </c>
      <c r="M562" s="119" t="s">
        <v>1666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8"/>
        <v>0</v>
      </c>
      <c r="U562" s="137">
        <f t="shared" si="102"/>
        <v>7891.65</v>
      </c>
      <c r="V562" s="137">
        <v>7891.65</v>
      </c>
      <c r="W562" s="137">
        <f t="shared" si="103"/>
        <v>0</v>
      </c>
      <c r="X562" s="137">
        <f t="shared" si="99"/>
        <v>0</v>
      </c>
      <c r="Y562" s="137">
        <f t="shared" si="104"/>
        <v>0</v>
      </c>
      <c r="Z562" s="137">
        <v>7891.65</v>
      </c>
      <c r="AA562" s="137">
        <f>Q562+V562-Z562</f>
        <v>0</v>
      </c>
      <c r="AB562" s="146">
        <f t="shared" si="108"/>
        <v>7891.65</v>
      </c>
      <c r="AC562" s="147">
        <f t="shared" si="101"/>
        <v>0</v>
      </c>
      <c r="AD562" s="137">
        <f t="shared" si="109"/>
        <v>7736.0057576565741</v>
      </c>
      <c r="AE562" s="138">
        <v>0.31559999999999999</v>
      </c>
      <c r="AF562" s="137">
        <f t="shared" si="110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708</v>
      </c>
      <c r="AL562" s="119" t="s">
        <v>608</v>
      </c>
      <c r="AM562" s="131"/>
    </row>
    <row r="563" spans="1:39" s="119" customFormat="1" ht="15" hidden="1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454</v>
      </c>
      <c r="G563" s="119" t="s">
        <v>707</v>
      </c>
      <c r="H563" s="119" t="s">
        <v>707</v>
      </c>
      <c r="I563" s="163" t="s">
        <v>202</v>
      </c>
      <c r="J563" s="119" t="s">
        <v>572</v>
      </c>
      <c r="K563" s="119" t="s">
        <v>573</v>
      </c>
      <c r="L563" s="119" t="s">
        <v>454</v>
      </c>
      <c r="M563" s="119" t="s">
        <v>45</v>
      </c>
      <c r="N563" s="135">
        <v>0</v>
      </c>
      <c r="O563" s="135" t="s">
        <v>46</v>
      </c>
      <c r="P563" s="230" t="s">
        <v>1667</v>
      </c>
      <c r="Q563" s="137">
        <v>0</v>
      </c>
      <c r="R563" s="137">
        <v>0</v>
      </c>
      <c r="S563" s="137">
        <v>2350000</v>
      </c>
      <c r="T563" s="137">
        <f t="shared" si="98"/>
        <v>0</v>
      </c>
      <c r="U563" s="137">
        <f t="shared" si="102"/>
        <v>2350000</v>
      </c>
      <c r="V563" s="137">
        <v>2381300</v>
      </c>
      <c r="W563" s="137">
        <f t="shared" si="103"/>
        <v>-31300</v>
      </c>
      <c r="X563" s="137">
        <f t="shared" si="99"/>
        <v>-31300</v>
      </c>
      <c r="Y563" s="137">
        <f t="shared" si="104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1"/>
        <v>31300</v>
      </c>
      <c r="AD563" s="137">
        <f t="shared" si="109"/>
        <v>2226455.5022030668</v>
      </c>
      <c r="AE563" s="138">
        <v>0.1077</v>
      </c>
      <c r="AF563" s="137">
        <f t="shared" si="110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hidden="1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709</v>
      </c>
      <c r="G564" s="119" t="s">
        <v>709</v>
      </c>
      <c r="H564" s="119" t="s">
        <v>709</v>
      </c>
      <c r="I564" s="163" t="s">
        <v>202</v>
      </c>
      <c r="J564" s="119" t="s">
        <v>572</v>
      </c>
      <c r="K564" s="119" t="s">
        <v>573</v>
      </c>
      <c r="L564" s="119" t="s">
        <v>710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8"/>
        <v>523.49400000000003</v>
      </c>
      <c r="U564" s="137">
        <f t="shared" si="102"/>
        <v>26698.194</v>
      </c>
      <c r="V564" s="137">
        <v>30600</v>
      </c>
      <c r="W564" s="137">
        <f t="shared" si="103"/>
        <v>-3901.8060000000005</v>
      </c>
      <c r="X564" s="137">
        <f t="shared" si="99"/>
        <v>-3825.3000000000006</v>
      </c>
      <c r="Y564" s="137">
        <f t="shared" si="104"/>
        <v>-76.505999999999858</v>
      </c>
      <c r="Z564" s="137">
        <v>27374.7</v>
      </c>
      <c r="AA564" s="137">
        <f t="shared" si="100"/>
        <v>3225.2999999999993</v>
      </c>
      <c r="AB564" s="146">
        <f t="shared" si="108"/>
        <v>26837.941176470587</v>
      </c>
      <c r="AC564" s="147">
        <f t="shared" si="101"/>
        <v>536.75882352941335</v>
      </c>
      <c r="AD564" s="137">
        <f t="shared" si="109"/>
        <v>26834.798402630808</v>
      </c>
      <c r="AE564" s="138">
        <v>0.1077</v>
      </c>
      <c r="AF564" s="137">
        <f t="shared" si="110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711</v>
      </c>
      <c r="G565" s="119" t="s">
        <v>711</v>
      </c>
      <c r="H565" s="119" t="s">
        <v>711</v>
      </c>
      <c r="I565" s="163" t="s">
        <v>202</v>
      </c>
      <c r="J565" s="119" t="s">
        <v>572</v>
      </c>
      <c r="K565" s="119" t="s">
        <v>573</v>
      </c>
      <c r="L565" s="119" t="s">
        <v>711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8"/>
        <v>82.14</v>
      </c>
      <c r="U565" s="137">
        <f t="shared" si="102"/>
        <v>1724.94</v>
      </c>
      <c r="V565" s="137">
        <v>0</v>
      </c>
      <c r="W565" s="137">
        <f t="shared" si="103"/>
        <v>1724.94</v>
      </c>
      <c r="X565" s="137">
        <f t="shared" si="99"/>
        <v>1642.8</v>
      </c>
      <c r="Y565" s="137">
        <f t="shared" si="104"/>
        <v>82.1400000000001</v>
      </c>
      <c r="Z565" s="137">
        <v>1642.8</v>
      </c>
      <c r="AA565" s="137">
        <f t="shared" si="100"/>
        <v>-1642.8</v>
      </c>
      <c r="AB565" s="146">
        <f t="shared" si="108"/>
        <v>1564.5714285714284</v>
      </c>
      <c r="AC565" s="147">
        <f t="shared" si="101"/>
        <v>78.228571428571513</v>
      </c>
      <c r="AD565" s="137">
        <f t="shared" si="109"/>
        <v>1610.399632355492</v>
      </c>
      <c r="AE565" s="138">
        <v>0.31559999999999999</v>
      </c>
      <c r="AF565" s="137">
        <f t="shared" si="110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hidden="1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711</v>
      </c>
      <c r="G566" s="119" t="s">
        <v>711</v>
      </c>
      <c r="H566" s="119" t="s">
        <v>711</v>
      </c>
      <c r="I566" s="163" t="s">
        <v>202</v>
      </c>
      <c r="J566" s="119" t="s">
        <v>572</v>
      </c>
      <c r="K566" s="119" t="s">
        <v>573</v>
      </c>
      <c r="L566" s="119" t="s">
        <v>711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8"/>
        <v>8764.5550000000003</v>
      </c>
      <c r="U566" s="137">
        <f t="shared" si="102"/>
        <v>184055.655</v>
      </c>
      <c r="V566" s="137">
        <v>215000</v>
      </c>
      <c r="W566" s="137">
        <f t="shared" si="103"/>
        <v>-30944.345000000001</v>
      </c>
      <c r="X566" s="137">
        <f t="shared" si="99"/>
        <v>-29470.804761904761</v>
      </c>
      <c r="Y566" s="137">
        <f t="shared" si="104"/>
        <v>-1473.5402380952401</v>
      </c>
      <c r="Z566" s="137">
        <v>175291.1</v>
      </c>
      <c r="AA566" s="137">
        <f t="shared" si="100"/>
        <v>39708.899999999994</v>
      </c>
      <c r="AB566" s="146">
        <f t="shared" si="108"/>
        <v>166943.90476190476</v>
      </c>
      <c r="AC566" s="147">
        <f t="shared" si="101"/>
        <v>8347.1952380952425</v>
      </c>
      <c r="AD566" s="137">
        <f t="shared" si="109"/>
        <v>171833.89517603471</v>
      </c>
      <c r="AE566" s="138">
        <v>0.1077</v>
      </c>
      <c r="AF566" s="137">
        <f t="shared" si="110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hidden="1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712</v>
      </c>
      <c r="G567" s="119" t="s">
        <v>713</v>
      </c>
      <c r="H567" s="119" t="s">
        <v>713</v>
      </c>
      <c r="I567" s="163" t="s">
        <v>202</v>
      </c>
      <c r="J567" s="119" t="s">
        <v>600</v>
      </c>
      <c r="K567" s="119" t="s">
        <v>636</v>
      </c>
      <c r="L567" s="119" t="s">
        <v>712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8"/>
        <v>472.88380000000001</v>
      </c>
      <c r="U567" s="137">
        <f t="shared" si="102"/>
        <v>24117.073799999998</v>
      </c>
      <c r="V567" s="137">
        <v>24682.6</v>
      </c>
      <c r="W567" s="137">
        <f t="shared" si="103"/>
        <v>-565.52620000000024</v>
      </c>
      <c r="X567" s="137">
        <f t="shared" si="99"/>
        <v>-554.43745098039244</v>
      </c>
      <c r="Y567" s="137">
        <f t="shared" si="104"/>
        <v>-11.088749019607803</v>
      </c>
      <c r="Z567" s="137">
        <v>24117.1</v>
      </c>
      <c r="AA567" s="137">
        <f t="shared" si="100"/>
        <v>565.5</v>
      </c>
      <c r="AB567" s="146">
        <f t="shared" si="108"/>
        <v>23644.215686274507</v>
      </c>
      <c r="AC567" s="147">
        <f t="shared" si="101"/>
        <v>472.88431372549167</v>
      </c>
      <c r="AD567" s="137">
        <v>24117.1</v>
      </c>
      <c r="AE567" s="138">
        <v>7.0000000000000007E-2</v>
      </c>
      <c r="AF567" s="137">
        <f t="shared" si="110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hidden="1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712</v>
      </c>
      <c r="G568" s="119" t="s">
        <v>713</v>
      </c>
      <c r="H568" s="119" t="s">
        <v>713</v>
      </c>
      <c r="I568" s="163" t="s">
        <v>202</v>
      </c>
      <c r="J568" s="119" t="s">
        <v>600</v>
      </c>
      <c r="K568" s="119" t="s">
        <v>636</v>
      </c>
      <c r="L568" s="119" t="s">
        <v>712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8"/>
        <v>44.352799999999995</v>
      </c>
      <c r="U568" s="137">
        <f t="shared" si="102"/>
        <v>598.76279999999997</v>
      </c>
      <c r="V568" s="137">
        <v>0</v>
      </c>
      <c r="W568" s="137">
        <f t="shared" si="103"/>
        <v>598.76279999999997</v>
      </c>
      <c r="X568" s="137">
        <f t="shared" si="99"/>
        <v>554.41</v>
      </c>
      <c r="Y568" s="137">
        <f t="shared" si="104"/>
        <v>44.352800000000002</v>
      </c>
      <c r="Z568" s="137">
        <v>565.5</v>
      </c>
      <c r="AA568" s="137">
        <f t="shared" si="100"/>
        <v>-565.5</v>
      </c>
      <c r="AB568" s="146">
        <f t="shared" si="108"/>
        <v>523.61111111111109</v>
      </c>
      <c r="AC568" s="147">
        <f t="shared" si="101"/>
        <v>41.888888888888914</v>
      </c>
      <c r="AD568" s="137">
        <v>565.5</v>
      </c>
      <c r="AE568" s="138">
        <v>0.2</v>
      </c>
      <c r="AF568" s="137">
        <f t="shared" si="110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hidden="1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550</v>
      </c>
      <c r="G569" s="119" t="s">
        <v>550</v>
      </c>
      <c r="H569" s="119" t="s">
        <v>550</v>
      </c>
      <c r="I569" s="163" t="s">
        <v>202</v>
      </c>
      <c r="J569" s="119" t="s">
        <v>572</v>
      </c>
      <c r="K569" s="119" t="s">
        <v>573</v>
      </c>
      <c r="L569" s="119" t="s">
        <v>550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8"/>
        <v>35.040999999999997</v>
      </c>
      <c r="U569" s="137">
        <f t="shared" si="102"/>
        <v>1787.0909999999999</v>
      </c>
      <c r="V569" s="137">
        <v>20400</v>
      </c>
      <c r="W569" s="137">
        <f t="shared" si="103"/>
        <v>-18612.909</v>
      </c>
      <c r="X569" s="137">
        <f t="shared" si="99"/>
        <v>-18247.95</v>
      </c>
      <c r="Y569" s="137">
        <f t="shared" si="104"/>
        <v>-364.95899999999892</v>
      </c>
      <c r="Z569" s="137">
        <v>1787.09</v>
      </c>
      <c r="AA569" s="137">
        <f t="shared" si="100"/>
        <v>18612.91</v>
      </c>
      <c r="AB569" s="146">
        <f t="shared" si="108"/>
        <v>1752.0490196078431</v>
      </c>
      <c r="AC569" s="147">
        <f t="shared" si="101"/>
        <v>35.040980392156825</v>
      </c>
      <c r="AD569" s="137">
        <f>Z569*0.980277351080772</f>
        <v>1751.8438513429367</v>
      </c>
      <c r="AE569" s="138">
        <v>0.1077</v>
      </c>
      <c r="AF569" s="137">
        <f t="shared" si="110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hidden="1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550</v>
      </c>
      <c r="G570" s="119" t="s">
        <v>550</v>
      </c>
      <c r="H570" s="119" t="s">
        <v>550</v>
      </c>
      <c r="I570" s="163" t="s">
        <v>202</v>
      </c>
      <c r="J570" s="119" t="s">
        <v>572</v>
      </c>
      <c r="K570" s="119" t="s">
        <v>573</v>
      </c>
      <c r="L570" s="119" t="s">
        <v>550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8"/>
        <v>163.91080000000002</v>
      </c>
      <c r="U570" s="137">
        <f t="shared" si="102"/>
        <v>8359.4508000000005</v>
      </c>
      <c r="V570" s="137">
        <v>0</v>
      </c>
      <c r="W570" s="137">
        <f t="shared" si="103"/>
        <v>8359.4508000000005</v>
      </c>
      <c r="X570" s="137">
        <f t="shared" si="99"/>
        <v>8195.5400000000009</v>
      </c>
      <c r="Y570" s="137">
        <f t="shared" si="104"/>
        <v>163.91079999999965</v>
      </c>
      <c r="Z570" s="137">
        <v>8412.91</v>
      </c>
      <c r="AA570" s="137">
        <f t="shared" si="100"/>
        <v>-8412.91</v>
      </c>
      <c r="AB570" s="146">
        <f t="shared" si="108"/>
        <v>8247.9509803921574</v>
      </c>
      <c r="AC570" s="147">
        <f t="shared" si="101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10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hidden="1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600</v>
      </c>
      <c r="K571" s="119" t="s">
        <v>615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8"/>
        <v>0</v>
      </c>
      <c r="U571" s="137">
        <f t="shared" si="102"/>
        <v>20062.72</v>
      </c>
      <c r="V571" s="137">
        <v>30000</v>
      </c>
      <c r="W571" s="137">
        <f t="shared" si="103"/>
        <v>-9937.2799999999988</v>
      </c>
      <c r="X571" s="137">
        <f t="shared" si="99"/>
        <v>-9937.2799999999988</v>
      </c>
      <c r="Y571" s="137">
        <f t="shared" si="104"/>
        <v>0</v>
      </c>
      <c r="Z571" s="137">
        <v>14897.22</v>
      </c>
      <c r="AA571" s="137">
        <f t="shared" si="100"/>
        <v>15102.78</v>
      </c>
      <c r="AB571" s="146">
        <f t="shared" si="108"/>
        <v>14897.22</v>
      </c>
      <c r="AC571" s="147">
        <f t="shared" si="101"/>
        <v>0</v>
      </c>
      <c r="AD571" s="137">
        <v>14897.22</v>
      </c>
      <c r="AE571" s="138">
        <v>7.0000000000000007E-2</v>
      </c>
      <c r="AF571" s="137">
        <f t="shared" si="110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hidden="1" customHeight="1" x14ac:dyDescent="0.3">
      <c r="A572" s="119">
        <v>2017</v>
      </c>
      <c r="B572" s="119" t="s">
        <v>37</v>
      </c>
      <c r="C572" s="119" t="s">
        <v>58</v>
      </c>
      <c r="D572" s="119" t="s">
        <v>714</v>
      </c>
      <c r="F572" s="131" t="s">
        <v>715</v>
      </c>
      <c r="G572" s="131" t="s">
        <v>715</v>
      </c>
      <c r="H572" s="131" t="s">
        <v>715</v>
      </c>
      <c r="I572" s="119" t="s">
        <v>168</v>
      </c>
      <c r="J572" s="119" t="s">
        <v>169</v>
      </c>
      <c r="K572" s="119" t="s">
        <v>170</v>
      </c>
      <c r="L572" s="119" t="s">
        <v>715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8"/>
        <v>0</v>
      </c>
      <c r="U572" s="137">
        <f t="shared" si="102"/>
        <v>0</v>
      </c>
      <c r="V572" s="137">
        <v>15520.04</v>
      </c>
      <c r="W572" s="137">
        <f t="shared" si="103"/>
        <v>-15520.04</v>
      </c>
      <c r="X572" s="137">
        <f t="shared" si="99"/>
        <v>-13857.178571428571</v>
      </c>
      <c r="Y572" s="137">
        <f t="shared" si="104"/>
        <v>-1662.8614285714302</v>
      </c>
      <c r="Z572" s="137">
        <v>130790.98</v>
      </c>
      <c r="AA572" s="137">
        <f t="shared" si="100"/>
        <v>-115270.94</v>
      </c>
      <c r="AB572" s="146">
        <f t="shared" si="108"/>
        <v>116777.6607142857</v>
      </c>
      <c r="AC572" s="147">
        <f t="shared" si="101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10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hidden="1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464</v>
      </c>
      <c r="G573" s="119" t="s">
        <v>716</v>
      </c>
      <c r="H573" s="119" t="s">
        <v>716</v>
      </c>
      <c r="I573" s="163" t="s">
        <v>202</v>
      </c>
      <c r="J573" s="119" t="s">
        <v>572</v>
      </c>
      <c r="K573" s="119" t="s">
        <v>573</v>
      </c>
      <c r="L573" s="119" t="s">
        <v>464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8"/>
        <v>3289.1536000000001</v>
      </c>
      <c r="U573" s="137">
        <f t="shared" si="102"/>
        <v>167746.83359999998</v>
      </c>
      <c r="V573" s="137">
        <v>204000</v>
      </c>
      <c r="W573" s="137">
        <f t="shared" si="103"/>
        <v>-36253.166400000016</v>
      </c>
      <c r="X573" s="137">
        <f t="shared" si="99"/>
        <v>-35542.320000000014</v>
      </c>
      <c r="Y573" s="137">
        <f t="shared" si="104"/>
        <v>-710.84640000000218</v>
      </c>
      <c r="Z573" s="137">
        <v>167746.82999999999</v>
      </c>
      <c r="AA573" s="137">
        <f t="shared" si="100"/>
        <v>36253.170000000013</v>
      </c>
      <c r="AB573" s="146">
        <f t="shared" si="108"/>
        <v>164457.67647058822</v>
      </c>
      <c r="AC573" s="147">
        <f t="shared" si="101"/>
        <v>3289.1535294117639</v>
      </c>
      <c r="AD573" s="137">
        <f t="shared" ref="AD573:AD580" si="111">Z573*0.980277351080772</f>
        <v>164438.41816459657</v>
      </c>
      <c r="AE573" s="138">
        <v>0.1077</v>
      </c>
      <c r="AF573" s="137">
        <f t="shared" si="110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hidden="1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464</v>
      </c>
      <c r="G574" s="119" t="s">
        <v>716</v>
      </c>
      <c r="H574" s="119" t="s">
        <v>716</v>
      </c>
      <c r="I574" s="163" t="s">
        <v>202</v>
      </c>
      <c r="J574" s="119" t="s">
        <v>572</v>
      </c>
      <c r="K574" s="119" t="s">
        <v>573</v>
      </c>
      <c r="L574" s="119" t="s">
        <v>464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8"/>
        <v>2806.0920000000001</v>
      </c>
      <c r="U574" s="137">
        <f t="shared" si="102"/>
        <v>37882.241999999998</v>
      </c>
      <c r="V574" s="137">
        <v>0</v>
      </c>
      <c r="W574" s="137">
        <f t="shared" si="103"/>
        <v>37882.241999999998</v>
      </c>
      <c r="X574" s="137">
        <f t="shared" si="99"/>
        <v>35076.149999999994</v>
      </c>
      <c r="Y574" s="137">
        <f t="shared" si="104"/>
        <v>2806.0920000000042</v>
      </c>
      <c r="Z574" s="137">
        <v>36253.17</v>
      </c>
      <c r="AA574" s="137">
        <f t="shared" si="100"/>
        <v>-36253.17</v>
      </c>
      <c r="AB574" s="146">
        <f t="shared" si="108"/>
        <v>33567.749999999993</v>
      </c>
      <c r="AC574" s="147">
        <f t="shared" si="101"/>
        <v>2685.4200000000055</v>
      </c>
      <c r="AD574" s="137">
        <f t="shared" si="111"/>
        <v>35538.161455880909</v>
      </c>
      <c r="AE574" s="138">
        <v>0.31559999999999999</v>
      </c>
      <c r="AF574" s="137">
        <f t="shared" si="110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hidden="1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717</v>
      </c>
      <c r="G575" s="119" t="s">
        <v>717</v>
      </c>
      <c r="H575" s="119" t="s">
        <v>717</v>
      </c>
      <c r="I575" s="163" t="s">
        <v>202</v>
      </c>
      <c r="J575" s="119" t="s">
        <v>572</v>
      </c>
      <c r="K575" s="119" t="s">
        <v>573</v>
      </c>
      <c r="L575" s="119" t="s">
        <v>717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8"/>
        <v>902.22179999999992</v>
      </c>
      <c r="U575" s="137">
        <f t="shared" si="102"/>
        <v>46013.311799999996</v>
      </c>
      <c r="V575" s="137">
        <v>51000</v>
      </c>
      <c r="W575" s="137">
        <f t="shared" si="103"/>
        <v>-4986.6882000000041</v>
      </c>
      <c r="X575" s="137">
        <f t="shared" si="99"/>
        <v>-4888.9100000000044</v>
      </c>
      <c r="Y575" s="137">
        <f t="shared" si="104"/>
        <v>-97.778199999999742</v>
      </c>
      <c r="Z575" s="137">
        <v>46013.31</v>
      </c>
      <c r="AA575" s="137">
        <f t="shared" si="100"/>
        <v>4986.6900000000023</v>
      </c>
      <c r="AB575" s="146">
        <f t="shared" si="108"/>
        <v>45111.088235294112</v>
      </c>
      <c r="AC575" s="147">
        <f t="shared" si="101"/>
        <v>902.22176470588602</v>
      </c>
      <c r="AD575" s="137">
        <f t="shared" si="111"/>
        <v>45105.80564125839</v>
      </c>
      <c r="AE575" s="138">
        <v>0.1077</v>
      </c>
      <c r="AF575" s="137">
        <f t="shared" si="110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hidden="1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718</v>
      </c>
      <c r="G576" s="119" t="s">
        <v>718</v>
      </c>
      <c r="H576" s="119" t="s">
        <v>718</v>
      </c>
      <c r="I576" s="163" t="s">
        <v>202</v>
      </c>
      <c r="J576" s="119" t="s">
        <v>572</v>
      </c>
      <c r="K576" s="119" t="s">
        <v>573</v>
      </c>
      <c r="L576" s="119" t="s">
        <v>718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8"/>
        <v>7006.3369999999995</v>
      </c>
      <c r="U576" s="137">
        <f t="shared" si="102"/>
        <v>357323.18699999998</v>
      </c>
      <c r="V576" s="137">
        <v>183600</v>
      </c>
      <c r="W576" s="137">
        <f t="shared" si="103"/>
        <v>173723.18699999998</v>
      </c>
      <c r="X576" s="137">
        <f t="shared" si="99"/>
        <v>170316.84999999998</v>
      </c>
      <c r="Y576" s="137">
        <f t="shared" si="104"/>
        <v>3406.3369999999995</v>
      </c>
      <c r="Z576" s="137">
        <v>96223.91</v>
      </c>
      <c r="AA576" s="137">
        <f t="shared" si="100"/>
        <v>87376.09</v>
      </c>
      <c r="AB576" s="146">
        <f t="shared" si="108"/>
        <v>94337.166666666672</v>
      </c>
      <c r="AC576" s="147">
        <f t="shared" si="101"/>
        <v>1886.743333333332</v>
      </c>
      <c r="AD576" s="137">
        <f t="shared" si="111"/>
        <v>94326.119605434607</v>
      </c>
      <c r="AE576" s="138">
        <v>0.1077</v>
      </c>
      <c r="AF576" s="137">
        <f t="shared" si="110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hidden="1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718</v>
      </c>
      <c r="G577" s="119" t="s">
        <v>719</v>
      </c>
      <c r="H577" s="119" t="s">
        <v>719</v>
      </c>
      <c r="I577" s="163" t="s">
        <v>202</v>
      </c>
      <c r="J577" s="119" t="s">
        <v>572</v>
      </c>
      <c r="K577" s="119" t="s">
        <v>573</v>
      </c>
      <c r="L577" s="119" t="s">
        <v>718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8"/>
        <v>19766.516800000001</v>
      </c>
      <c r="U577" s="137">
        <f t="shared" si="102"/>
        <v>266847.9768</v>
      </c>
      <c r="V577" s="137">
        <v>0</v>
      </c>
      <c r="W577" s="137">
        <f t="shared" si="103"/>
        <v>266847.9768</v>
      </c>
      <c r="X577" s="137">
        <f t="shared" si="99"/>
        <v>247081.46</v>
      </c>
      <c r="Y577" s="137">
        <f t="shared" si="104"/>
        <v>19766.516800000012</v>
      </c>
      <c r="Z577" s="137">
        <v>40745.129999999997</v>
      </c>
      <c r="AA577" s="137">
        <f t="shared" si="100"/>
        <v>-40745.129999999997</v>
      </c>
      <c r="AB577" s="146">
        <f t="shared" si="108"/>
        <v>37726.972222222219</v>
      </c>
      <c r="AC577" s="147">
        <f t="shared" si="101"/>
        <v>3018.1577777777784</v>
      </c>
      <c r="AD577" s="137">
        <f t="shared" si="111"/>
        <v>39941.528105841695</v>
      </c>
      <c r="AE577" s="138">
        <v>0.31559999999999999</v>
      </c>
      <c r="AF577" s="137">
        <f t="shared" si="110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hidden="1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465</v>
      </c>
      <c r="F578" s="119" t="s">
        <v>720</v>
      </c>
      <c r="G578" s="119" t="s">
        <v>720</v>
      </c>
      <c r="H578" s="119" t="s">
        <v>720</v>
      </c>
      <c r="I578" s="163" t="s">
        <v>202</v>
      </c>
      <c r="J578" s="119" t="s">
        <v>572</v>
      </c>
      <c r="K578" s="119" t="s">
        <v>573</v>
      </c>
      <c r="L578" s="119" t="s">
        <v>720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2">S578*N578</f>
        <v>228.67860000000002</v>
      </c>
      <c r="U578" s="137">
        <f t="shared" si="102"/>
        <v>11662.6086</v>
      </c>
      <c r="V578" s="137">
        <v>20400</v>
      </c>
      <c r="W578" s="137">
        <f t="shared" si="103"/>
        <v>-8737.3914000000004</v>
      </c>
      <c r="X578" s="137">
        <f t="shared" ref="X578:X641" si="113">W578/(1+N578)</f>
        <v>-8566.07</v>
      </c>
      <c r="Y578" s="137">
        <f t="shared" si="104"/>
        <v>-171.32140000000072</v>
      </c>
      <c r="Z578" s="137">
        <v>11662.61</v>
      </c>
      <c r="AA578" s="137">
        <f t="shared" ref="AA578:AA641" si="114">Q578+V578-Z578</f>
        <v>8737.39</v>
      </c>
      <c r="AB578" s="146">
        <f t="shared" si="108"/>
        <v>11433.931372549019</v>
      </c>
      <c r="AC578" s="147">
        <f t="shared" ref="AC578:AC641" si="115">IF(O578="返现",Z578*N578,Z578-AB578)</f>
        <v>228.67862745098137</v>
      </c>
      <c r="AD578" s="137">
        <f t="shared" si="111"/>
        <v>11432.592437488123</v>
      </c>
      <c r="AE578" s="138">
        <v>0.1077</v>
      </c>
      <c r="AF578" s="137">
        <f t="shared" si="110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hidden="1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465</v>
      </c>
      <c r="F579" s="119" t="s">
        <v>720</v>
      </c>
      <c r="G579" s="119" t="s">
        <v>720</v>
      </c>
      <c r="H579" s="119" t="s">
        <v>720</v>
      </c>
      <c r="I579" s="163" t="s">
        <v>202</v>
      </c>
      <c r="J579" s="119" t="s">
        <v>572</v>
      </c>
      <c r="K579" s="119" t="s">
        <v>573</v>
      </c>
      <c r="L579" s="119" t="s">
        <v>720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2"/>
        <v>350.94639999999998</v>
      </c>
      <c r="U579" s="137">
        <f t="shared" ref="U579:U642" si="116">R579+S579+T579</f>
        <v>4737.7763999999997</v>
      </c>
      <c r="V579" s="137">
        <v>0</v>
      </c>
      <c r="W579" s="137">
        <f t="shared" ref="W579:W642" si="117">U579-V579</f>
        <v>4737.7763999999997</v>
      </c>
      <c r="X579" s="137">
        <f t="shared" si="113"/>
        <v>4386.829999999999</v>
      </c>
      <c r="Y579" s="137">
        <f t="shared" ref="Y579:Y642" si="118">W579-X579</f>
        <v>350.94640000000072</v>
      </c>
      <c r="Z579" s="137">
        <v>4474.57</v>
      </c>
      <c r="AA579" s="137">
        <f t="shared" si="114"/>
        <v>-4474.57</v>
      </c>
      <c r="AB579" s="146">
        <f t="shared" si="108"/>
        <v>4143.1203703703695</v>
      </c>
      <c r="AC579" s="147">
        <f t="shared" si="115"/>
        <v>331.44962962963018</v>
      </c>
      <c r="AD579" s="137">
        <f t="shared" si="111"/>
        <v>4386.3196268254896</v>
      </c>
      <c r="AE579" s="138">
        <v>0.31559999999999999</v>
      </c>
      <c r="AF579" s="137">
        <f t="shared" si="110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hidden="1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721</v>
      </c>
      <c r="G580" s="119" t="s">
        <v>722</v>
      </c>
      <c r="H580" s="119" t="s">
        <v>722</v>
      </c>
      <c r="I580" s="163" t="s">
        <v>202</v>
      </c>
      <c r="J580" s="119" t="s">
        <v>572</v>
      </c>
      <c r="K580" s="119" t="s">
        <v>573</v>
      </c>
      <c r="L580" s="119" t="s">
        <v>721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2"/>
        <v>200</v>
      </c>
      <c r="U580" s="137">
        <f t="shared" si="116"/>
        <v>10200</v>
      </c>
      <c r="V580" s="137">
        <v>10200</v>
      </c>
      <c r="W580" s="137">
        <f t="shared" si="117"/>
        <v>0</v>
      </c>
      <c r="X580" s="137">
        <f t="shared" si="113"/>
        <v>0</v>
      </c>
      <c r="Y580" s="137">
        <f t="shared" si="118"/>
        <v>0</v>
      </c>
      <c r="Z580" s="137">
        <v>5551.26</v>
      </c>
      <c r="AA580" s="137">
        <f t="shared" si="114"/>
        <v>4648.74</v>
      </c>
      <c r="AB580" s="146">
        <f t="shared" si="108"/>
        <v>5442.4117647058829</v>
      </c>
      <c r="AC580" s="147">
        <f t="shared" si="115"/>
        <v>108.84823529411733</v>
      </c>
      <c r="AD580" s="137">
        <f t="shared" si="111"/>
        <v>5441.7744479606463</v>
      </c>
      <c r="AE580" s="138">
        <v>0.1077</v>
      </c>
      <c r="AF580" s="137">
        <f t="shared" si="110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hidden="1" customHeight="1" x14ac:dyDescent="0.3">
      <c r="A581" s="119">
        <v>2017</v>
      </c>
      <c r="B581" s="119" t="s">
        <v>197</v>
      </c>
      <c r="C581" s="119" t="s">
        <v>58</v>
      </c>
      <c r="D581" s="119" t="s">
        <v>723</v>
      </c>
      <c r="E581" s="119" t="s">
        <v>129</v>
      </c>
      <c r="F581" s="119" t="s">
        <v>724</v>
      </c>
      <c r="G581" s="119" t="s">
        <v>725</v>
      </c>
      <c r="H581" s="119" t="s">
        <v>725</v>
      </c>
      <c r="I581" s="163" t="s">
        <v>202</v>
      </c>
      <c r="J581" s="119" t="s">
        <v>600</v>
      </c>
      <c r="K581" s="119" t="s">
        <v>636</v>
      </c>
      <c r="L581" s="119" t="s">
        <v>724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2"/>
        <v>0</v>
      </c>
      <c r="U581" s="137">
        <f t="shared" si="116"/>
        <v>17.549999999999301</v>
      </c>
      <c r="V581" s="137">
        <v>10000</v>
      </c>
      <c r="W581" s="137">
        <f t="shared" si="117"/>
        <v>-9982.4500000000007</v>
      </c>
      <c r="X581" s="137">
        <f t="shared" si="113"/>
        <v>-9982.4500000000007</v>
      </c>
      <c r="Y581" s="137">
        <f t="shared" si="118"/>
        <v>0</v>
      </c>
      <c r="Z581" s="137">
        <v>17.55</v>
      </c>
      <c r="AA581" s="137">
        <f t="shared" si="114"/>
        <v>9982.4500000000007</v>
      </c>
      <c r="AB581" s="146">
        <f t="shared" si="108"/>
        <v>17.55</v>
      </c>
      <c r="AC581" s="147">
        <f t="shared" si="115"/>
        <v>0</v>
      </c>
      <c r="AD581" s="137">
        <v>17.55</v>
      </c>
      <c r="AE581" s="138">
        <v>7.0000000000000007E-2</v>
      </c>
      <c r="AF581" s="137">
        <f t="shared" si="110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hidden="1" customHeight="1" x14ac:dyDescent="0.3">
      <c r="A582" s="119">
        <v>2017</v>
      </c>
      <c r="B582" s="119" t="s">
        <v>37</v>
      </c>
      <c r="C582" s="119" t="s">
        <v>58</v>
      </c>
      <c r="D582" s="119" t="s">
        <v>723</v>
      </c>
      <c r="E582" s="119" t="s">
        <v>129</v>
      </c>
      <c r="F582" s="119" t="s">
        <v>726</v>
      </c>
      <c r="G582" s="119" t="s">
        <v>726</v>
      </c>
      <c r="H582" s="119" t="s">
        <v>726</v>
      </c>
      <c r="I582" s="163" t="s">
        <v>202</v>
      </c>
      <c r="J582" s="119" t="s">
        <v>600</v>
      </c>
      <c r="K582" s="119" t="s">
        <v>636</v>
      </c>
      <c r="L582" s="119" t="s">
        <v>726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2"/>
        <v>0</v>
      </c>
      <c r="U582" s="137">
        <f t="shared" si="116"/>
        <v>38</v>
      </c>
      <c r="V582" s="137">
        <v>20000</v>
      </c>
      <c r="W582" s="137">
        <f t="shared" si="117"/>
        <v>-19962</v>
      </c>
      <c r="X582" s="137">
        <f t="shared" si="113"/>
        <v>-19962</v>
      </c>
      <c r="Y582" s="137">
        <f t="shared" si="118"/>
        <v>0</v>
      </c>
      <c r="Z582" s="137">
        <v>0</v>
      </c>
      <c r="AA582" s="137">
        <f t="shared" si="114"/>
        <v>20000</v>
      </c>
      <c r="AB582" s="146">
        <f t="shared" si="108"/>
        <v>0</v>
      </c>
      <c r="AC582" s="147">
        <f t="shared" si="115"/>
        <v>0</v>
      </c>
      <c r="AD582" s="137">
        <v>0</v>
      </c>
      <c r="AE582" s="138">
        <v>7.0000000000000007E-2</v>
      </c>
      <c r="AF582" s="137">
        <f t="shared" si="110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hidden="1" customHeight="1" x14ac:dyDescent="0.3">
      <c r="A583" s="119">
        <v>2017</v>
      </c>
      <c r="B583" s="119" t="s">
        <v>37</v>
      </c>
      <c r="C583" s="119" t="s">
        <v>58</v>
      </c>
      <c r="D583" s="119" t="s">
        <v>723</v>
      </c>
      <c r="E583" s="119" t="s">
        <v>129</v>
      </c>
      <c r="F583" s="119" t="s">
        <v>727</v>
      </c>
      <c r="G583" s="119" t="s">
        <v>727</v>
      </c>
      <c r="H583" s="119" t="s">
        <v>727</v>
      </c>
      <c r="I583" s="163" t="s">
        <v>202</v>
      </c>
      <c r="J583" s="119" t="s">
        <v>572</v>
      </c>
      <c r="K583" s="119" t="s">
        <v>573</v>
      </c>
      <c r="L583" s="119" t="s">
        <v>727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2"/>
        <v>3904.7259999999997</v>
      </c>
      <c r="U583" s="137">
        <f t="shared" si="116"/>
        <v>199141.02599999998</v>
      </c>
      <c r="V583" s="137">
        <v>312266.21999999997</v>
      </c>
      <c r="W583" s="137">
        <f t="shared" si="117"/>
        <v>-113125.19399999999</v>
      </c>
      <c r="X583" s="137">
        <f t="shared" si="113"/>
        <v>-110907.05294117646</v>
      </c>
      <c r="Y583" s="137">
        <f t="shared" si="118"/>
        <v>-2218.1410588235303</v>
      </c>
      <c r="Z583" s="137">
        <v>200747.26</v>
      </c>
      <c r="AA583" s="137">
        <f t="shared" si="114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5"/>
        <v>4470.5345098039252</v>
      </c>
      <c r="AD583" s="137">
        <f t="shared" ref="AD583:AD614" si="119">Z583*0.980277351080772</f>
        <v>196787.99226952301</v>
      </c>
      <c r="AE583" s="138">
        <v>0.1077</v>
      </c>
      <c r="AF583" s="137">
        <f t="shared" si="110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hidden="1" customHeight="1" x14ac:dyDescent="0.3">
      <c r="A584" s="119">
        <v>2017</v>
      </c>
      <c r="B584" s="119" t="s">
        <v>37</v>
      </c>
      <c r="C584" s="119" t="s">
        <v>58</v>
      </c>
      <c r="D584" s="119" t="s">
        <v>723</v>
      </c>
      <c r="E584" s="119" t="s">
        <v>129</v>
      </c>
      <c r="F584" s="119" t="s">
        <v>727</v>
      </c>
      <c r="G584" s="119" t="s">
        <v>727</v>
      </c>
      <c r="H584" s="119" t="s">
        <v>727</v>
      </c>
      <c r="I584" s="163" t="s">
        <v>202</v>
      </c>
      <c r="J584" s="119" t="s">
        <v>572</v>
      </c>
      <c r="K584" s="119" t="s">
        <v>573</v>
      </c>
      <c r="L584" s="119" t="s">
        <v>727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2"/>
        <v>5918.22</v>
      </c>
      <c r="U584" s="137">
        <f t="shared" si="116"/>
        <v>79895.97</v>
      </c>
      <c r="V584" s="137">
        <v>0</v>
      </c>
      <c r="W584" s="137">
        <f t="shared" si="117"/>
        <v>79895.97</v>
      </c>
      <c r="X584" s="137">
        <f t="shared" si="113"/>
        <v>73977.75</v>
      </c>
      <c r="Y584" s="137">
        <f t="shared" si="118"/>
        <v>5918.2200000000012</v>
      </c>
      <c r="Z584" s="137">
        <v>125641.33</v>
      </c>
      <c r="AA584" s="137">
        <f t="shared" si="114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5"/>
        <v>50383.904074074075</v>
      </c>
      <c r="AD584" s="137">
        <f t="shared" si="119"/>
        <v>123163.35015866513</v>
      </c>
      <c r="AE584" s="138">
        <v>0.31559999999999999</v>
      </c>
      <c r="AF584" s="137">
        <f t="shared" si="110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hidden="1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728</v>
      </c>
      <c r="G585" s="119" t="s">
        <v>729</v>
      </c>
      <c r="H585" s="119" t="s">
        <v>729</v>
      </c>
      <c r="I585" s="163" t="s">
        <v>202</v>
      </c>
      <c r="J585" s="119" t="s">
        <v>572</v>
      </c>
      <c r="K585" s="119" t="s">
        <v>573</v>
      </c>
      <c r="L585" s="119" t="s">
        <v>730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2"/>
        <v>0</v>
      </c>
      <c r="U585" s="137">
        <f t="shared" si="116"/>
        <v>647.21</v>
      </c>
      <c r="V585" s="137">
        <v>0</v>
      </c>
      <c r="W585" s="137">
        <f t="shared" si="117"/>
        <v>647.21</v>
      </c>
      <c r="X585" s="137">
        <f t="shared" si="113"/>
        <v>647.21</v>
      </c>
      <c r="Y585" s="137">
        <f t="shared" si="118"/>
        <v>0</v>
      </c>
      <c r="Z585" s="137">
        <v>647.21</v>
      </c>
      <c r="AA585" s="137">
        <f t="shared" si="114"/>
        <v>-647.21</v>
      </c>
      <c r="AB585" s="146">
        <f>IF(O585="返货",Z585/(1+N585),IF(O585="返现",Z585,IF(O585="折扣",Z585*N585,IF(O585="无",Z585))))</f>
        <v>647.21</v>
      </c>
      <c r="AC585" s="147">
        <f t="shared" si="115"/>
        <v>0</v>
      </c>
      <c r="AD585" s="137">
        <f t="shared" si="119"/>
        <v>634.44530439298649</v>
      </c>
      <c r="AE585" s="138">
        <v>0.31559999999999999</v>
      </c>
      <c r="AF585" s="137">
        <f t="shared" si="110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728</v>
      </c>
      <c r="G586" s="119" t="s">
        <v>729</v>
      </c>
      <c r="H586" s="119" t="s">
        <v>729</v>
      </c>
      <c r="I586" s="163" t="s">
        <v>202</v>
      </c>
      <c r="J586" s="119" t="s">
        <v>572</v>
      </c>
      <c r="K586" s="119" t="s">
        <v>573</v>
      </c>
      <c r="L586" s="119" t="s">
        <v>730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2"/>
        <v>0</v>
      </c>
      <c r="U586" s="137">
        <f t="shared" si="116"/>
        <v>9352.7900000000009</v>
      </c>
      <c r="V586" s="137">
        <v>10000</v>
      </c>
      <c r="W586" s="137">
        <f t="shared" si="117"/>
        <v>-647.20999999999913</v>
      </c>
      <c r="X586" s="137">
        <f t="shared" si="113"/>
        <v>-647.20999999999913</v>
      </c>
      <c r="Y586" s="137">
        <f t="shared" si="118"/>
        <v>0</v>
      </c>
      <c r="Z586" s="137">
        <v>5531.86</v>
      </c>
      <c r="AA586" s="137">
        <f t="shared" si="114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5"/>
        <v>0</v>
      </c>
      <c r="AD586" s="137">
        <f t="shared" si="119"/>
        <v>5422.7570673496784</v>
      </c>
      <c r="AE586" s="138">
        <v>0.1077</v>
      </c>
      <c r="AF586" s="137">
        <f t="shared" si="110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731</v>
      </c>
      <c r="G587" s="119" t="s">
        <v>731</v>
      </c>
      <c r="H587" s="119" t="s">
        <v>731</v>
      </c>
      <c r="I587" s="163" t="s">
        <v>202</v>
      </c>
      <c r="J587" s="119" t="s">
        <v>572</v>
      </c>
      <c r="K587" s="119" t="s">
        <v>573</v>
      </c>
      <c r="L587" s="119" t="s">
        <v>731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2"/>
        <v>250.62360000000001</v>
      </c>
      <c r="U587" s="137">
        <f t="shared" si="116"/>
        <v>12781.803600000001</v>
      </c>
      <c r="V587" s="137">
        <v>20400</v>
      </c>
      <c r="W587" s="137">
        <f t="shared" si="117"/>
        <v>-7618.1963999999989</v>
      </c>
      <c r="X587" s="137">
        <f t="shared" si="113"/>
        <v>-7468.8199999999988</v>
      </c>
      <c r="Y587" s="137">
        <f t="shared" si="118"/>
        <v>-149.3764000000001</v>
      </c>
      <c r="Z587" s="137">
        <v>12781.8</v>
      </c>
      <c r="AA587" s="137">
        <f t="shared" si="114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5"/>
        <v>250.62352941176505</v>
      </c>
      <c r="AD587" s="137">
        <f t="shared" si="119"/>
        <v>12529.70904604421</v>
      </c>
      <c r="AE587" s="138">
        <v>0.1077</v>
      </c>
      <c r="AF587" s="137">
        <f t="shared" si="110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hidden="1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731</v>
      </c>
      <c r="G588" s="119" t="s">
        <v>731</v>
      </c>
      <c r="H588" s="119" t="s">
        <v>731</v>
      </c>
      <c r="I588" s="163" t="s">
        <v>202</v>
      </c>
      <c r="J588" s="119" t="s">
        <v>572</v>
      </c>
      <c r="K588" s="119" t="s">
        <v>573</v>
      </c>
      <c r="L588" s="119" t="s">
        <v>731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2"/>
        <v>597.50559999999996</v>
      </c>
      <c r="U588" s="137">
        <f t="shared" si="116"/>
        <v>8066.3256000000001</v>
      </c>
      <c r="V588" s="137">
        <v>0</v>
      </c>
      <c r="W588" s="137">
        <f t="shared" si="117"/>
        <v>8066.3256000000001</v>
      </c>
      <c r="X588" s="137">
        <f t="shared" si="113"/>
        <v>7468.82</v>
      </c>
      <c r="Y588" s="137">
        <f t="shared" si="118"/>
        <v>597.50560000000041</v>
      </c>
      <c r="Z588" s="137">
        <v>7618.2</v>
      </c>
      <c r="AA588" s="137">
        <f t="shared" si="114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5"/>
        <v>564.31111111111113</v>
      </c>
      <c r="AD588" s="137">
        <f t="shared" si="119"/>
        <v>7467.9489160035364</v>
      </c>
      <c r="AE588" s="138">
        <v>0.31559999999999999</v>
      </c>
      <c r="AF588" s="137">
        <f t="shared" si="110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hidden="1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732</v>
      </c>
      <c r="G589" s="119" t="s">
        <v>732</v>
      </c>
      <c r="H589" s="119" t="s">
        <v>732</v>
      </c>
      <c r="I589" s="163" t="s">
        <v>202</v>
      </c>
      <c r="J589" s="119" t="s">
        <v>572</v>
      </c>
      <c r="K589" s="119" t="s">
        <v>573</v>
      </c>
      <c r="L589" s="119" t="s">
        <v>733</v>
      </c>
      <c r="M589" s="119" t="s">
        <v>183</v>
      </c>
      <c r="N589" s="136">
        <v>0.02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2"/>
        <v>3400</v>
      </c>
      <c r="U589" s="137">
        <f t="shared" si="116"/>
        <v>173400</v>
      </c>
      <c r="V589" s="137">
        <v>0</v>
      </c>
      <c r="W589" s="137">
        <f t="shared" si="117"/>
        <v>173400</v>
      </c>
      <c r="X589" s="137">
        <f t="shared" si="113"/>
        <v>170000</v>
      </c>
      <c r="Y589" s="137">
        <f t="shared" si="118"/>
        <v>3400</v>
      </c>
      <c r="Z589" s="137">
        <v>172771.71</v>
      </c>
      <c r="AA589" s="137">
        <f t="shared" si="114"/>
        <v>-172771.71</v>
      </c>
      <c r="AB589" s="146">
        <f>IF(O589="返货",Z589/(1+N589),IF(O589="返现",Z589,IF(O589="折扣",Z589*N589,IF(O589="无",Z589))))</f>
        <v>169384.0294117647</v>
      </c>
      <c r="AC589" s="147">
        <f t="shared" si="115"/>
        <v>3387.6805882352928</v>
      </c>
      <c r="AD589" s="137">
        <f t="shared" si="119"/>
        <v>169364.19422049532</v>
      </c>
      <c r="AE589" s="138">
        <v>0.31559999999999999</v>
      </c>
      <c r="AF589" s="137">
        <f t="shared" si="110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hidden="1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734</v>
      </c>
      <c r="G590" s="119" t="s">
        <v>734</v>
      </c>
      <c r="H590" s="119" t="s">
        <v>734</v>
      </c>
      <c r="I590" s="163" t="s">
        <v>202</v>
      </c>
      <c r="J590" s="119" t="s">
        <v>572</v>
      </c>
      <c r="K590" s="119" t="s">
        <v>573</v>
      </c>
      <c r="L590" s="119" t="s">
        <v>734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2"/>
        <v>12823.281999999999</v>
      </c>
      <c r="U590" s="137">
        <f t="shared" si="116"/>
        <v>653987.38199999998</v>
      </c>
      <c r="V590" s="137">
        <v>780195.81</v>
      </c>
      <c r="W590" s="137">
        <f t="shared" si="117"/>
        <v>-126208.42800000007</v>
      </c>
      <c r="X590" s="137">
        <f t="shared" si="113"/>
        <v>-123733.75294117654</v>
      </c>
      <c r="Y590" s="137">
        <f t="shared" si="118"/>
        <v>-2474.67505882353</v>
      </c>
      <c r="Z590" s="137">
        <v>730291.82</v>
      </c>
      <c r="AA590" s="137">
        <f t="shared" si="114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5"/>
        <v>97484.045490196091</v>
      </c>
      <c r="AD590" s="137">
        <f t="shared" si="119"/>
        <v>715888.53082555591</v>
      </c>
      <c r="AE590" s="138">
        <v>0.1077</v>
      </c>
      <c r="AF590" s="137">
        <f t="shared" si="110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hidden="1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734</v>
      </c>
      <c r="G591" s="119" t="s">
        <v>734</v>
      </c>
      <c r="H591" s="119" t="s">
        <v>734</v>
      </c>
      <c r="I591" s="163" t="s">
        <v>202</v>
      </c>
      <c r="J591" s="119" t="s">
        <v>572</v>
      </c>
      <c r="K591" s="119" t="s">
        <v>573</v>
      </c>
      <c r="L591" s="119" t="s">
        <v>734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2"/>
        <v>7646.2168000000011</v>
      </c>
      <c r="U591" s="137">
        <f t="shared" si="116"/>
        <v>103223.9268</v>
      </c>
      <c r="V591" s="137">
        <v>0</v>
      </c>
      <c r="W591" s="137">
        <f t="shared" si="117"/>
        <v>103223.9268</v>
      </c>
      <c r="X591" s="137">
        <f t="shared" si="113"/>
        <v>95577.709999999992</v>
      </c>
      <c r="Y591" s="137">
        <f t="shared" si="118"/>
        <v>7646.2168000000092</v>
      </c>
      <c r="Z591" s="137">
        <v>115006.43</v>
      </c>
      <c r="AA591" s="137">
        <f t="shared" si="114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5"/>
        <v>24545.59402777777</v>
      </c>
      <c r="AD591" s="137">
        <f t="shared" si="119"/>
        <v>112738.19855765621</v>
      </c>
      <c r="AE591" s="138">
        <v>0.31559999999999999</v>
      </c>
      <c r="AF591" s="137">
        <f t="shared" si="110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hidden="1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735</v>
      </c>
      <c r="G592" s="119" t="s">
        <v>735</v>
      </c>
      <c r="H592" s="119" t="s">
        <v>735</v>
      </c>
      <c r="I592" s="163" t="s">
        <v>202</v>
      </c>
      <c r="J592" s="119" t="s">
        <v>572</v>
      </c>
      <c r="K592" s="119" t="s">
        <v>573</v>
      </c>
      <c r="L592" s="119" t="s">
        <v>735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2"/>
        <v>31739.146600000004</v>
      </c>
      <c r="U592" s="137">
        <f t="shared" si="116"/>
        <v>1618696.4766000002</v>
      </c>
      <c r="V592" s="137">
        <v>2119204.7599999998</v>
      </c>
      <c r="W592" s="137">
        <f t="shared" si="117"/>
        <v>-500508.28339999961</v>
      </c>
      <c r="X592" s="137">
        <f t="shared" si="113"/>
        <v>-490694.39549019566</v>
      </c>
      <c r="Y592" s="137">
        <f t="shared" si="118"/>
        <v>-9813.887909803947</v>
      </c>
      <c r="Z592" s="137">
        <v>1618553.94</v>
      </c>
      <c r="AA592" s="137">
        <f t="shared" si="114"/>
        <v>500650.81999999983</v>
      </c>
      <c r="AB592" s="146">
        <f t="shared" ref="AB592:AB599" si="120">IF(O592="返货",Z592/(1+N592),IF(O592="返现",Z592,IF(O592="折扣",Z592*N592,IF(O592="无",Z592))))</f>
        <v>1586817.588235294</v>
      </c>
      <c r="AC592" s="147">
        <f t="shared" si="115"/>
        <v>31736.351764705963</v>
      </c>
      <c r="AD592" s="137">
        <f t="shared" si="119"/>
        <v>1586631.7688845466</v>
      </c>
      <c r="AE592" s="138">
        <v>0.1077</v>
      </c>
      <c r="AF592" s="137">
        <f t="shared" si="110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hidden="1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735</v>
      </c>
      <c r="G593" s="119" t="s">
        <v>735</v>
      </c>
      <c r="H593" s="119" t="s">
        <v>735</v>
      </c>
      <c r="I593" s="163" t="s">
        <v>202</v>
      </c>
      <c r="J593" s="119" t="s">
        <v>572</v>
      </c>
      <c r="K593" s="119" t="s">
        <v>573</v>
      </c>
      <c r="L593" s="119" t="s">
        <v>735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2"/>
        <v>37043.4136</v>
      </c>
      <c r="U593" s="137">
        <f t="shared" si="116"/>
        <v>500086.08360000001</v>
      </c>
      <c r="V593" s="137">
        <v>0</v>
      </c>
      <c r="W593" s="137">
        <f t="shared" si="117"/>
        <v>500086.08360000001</v>
      </c>
      <c r="X593" s="137">
        <f t="shared" si="113"/>
        <v>463042.67</v>
      </c>
      <c r="Y593" s="137">
        <f t="shared" si="118"/>
        <v>37043.413600000029</v>
      </c>
      <c r="Z593" s="137">
        <v>500650.82</v>
      </c>
      <c r="AA593" s="137">
        <f t="shared" si="114"/>
        <v>-500650.82</v>
      </c>
      <c r="AB593" s="146">
        <f t="shared" si="120"/>
        <v>463565.57407407404</v>
      </c>
      <c r="AC593" s="147">
        <f t="shared" si="115"/>
        <v>37085.245925925963</v>
      </c>
      <c r="AD593" s="137">
        <f t="shared" si="119"/>
        <v>490776.65964601637</v>
      </c>
      <c r="AE593" s="138">
        <v>0.31559999999999999</v>
      </c>
      <c r="AF593" s="137">
        <f t="shared" si="110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hidden="1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119" t="s">
        <v>735</v>
      </c>
      <c r="G594" s="119" t="s">
        <v>735</v>
      </c>
      <c r="H594" s="119" t="s">
        <v>735</v>
      </c>
      <c r="I594" s="163" t="s">
        <v>202</v>
      </c>
      <c r="J594" s="119" t="s">
        <v>572</v>
      </c>
      <c r="K594" s="119" t="s">
        <v>573</v>
      </c>
      <c r="L594" s="119" t="s">
        <v>735</v>
      </c>
      <c r="M594" s="119" t="s">
        <v>592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2"/>
        <v>0</v>
      </c>
      <c r="U594" s="137">
        <f t="shared" si="116"/>
        <v>14247</v>
      </c>
      <c r="V594" s="137">
        <v>14247</v>
      </c>
      <c r="W594" s="137">
        <f t="shared" si="117"/>
        <v>0</v>
      </c>
      <c r="X594" s="137">
        <f t="shared" si="113"/>
        <v>0</v>
      </c>
      <c r="Y594" s="137">
        <f t="shared" si="118"/>
        <v>0</v>
      </c>
      <c r="Z594" s="137">
        <v>14247</v>
      </c>
      <c r="AA594" s="137">
        <f t="shared" si="114"/>
        <v>0</v>
      </c>
      <c r="AB594" s="146">
        <f t="shared" si="120"/>
        <v>14247</v>
      </c>
      <c r="AC594" s="147">
        <f t="shared" si="115"/>
        <v>0</v>
      </c>
      <c r="AD594" s="137">
        <f t="shared" si="119"/>
        <v>13966.011420847759</v>
      </c>
      <c r="AE594" s="138">
        <v>0.35339999999999999</v>
      </c>
      <c r="AF594" s="137">
        <f t="shared" si="110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736</v>
      </c>
      <c r="AM594" s="131"/>
    </row>
    <row r="595" spans="1:39" s="119" customFormat="1" ht="15" hidden="1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572</v>
      </c>
      <c r="K595" s="119" t="s">
        <v>573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2"/>
        <v>1306.5763999999999</v>
      </c>
      <c r="U595" s="137">
        <f t="shared" si="116"/>
        <v>66635.396399999998</v>
      </c>
      <c r="V595" s="137">
        <v>143151.38</v>
      </c>
      <c r="W595" s="137">
        <f t="shared" si="117"/>
        <v>-76515.983600000007</v>
      </c>
      <c r="X595" s="137">
        <f t="shared" si="113"/>
        <v>-75015.670196078441</v>
      </c>
      <c r="Y595" s="137">
        <f t="shared" si="118"/>
        <v>-1500.3134039215656</v>
      </c>
      <c r="Z595" s="137">
        <v>66635.399999999994</v>
      </c>
      <c r="AA595" s="137">
        <f t="shared" si="114"/>
        <v>76515.98000000001</v>
      </c>
      <c r="AB595" s="146">
        <f t="shared" si="120"/>
        <v>65328.823529411755</v>
      </c>
      <c r="AC595" s="147">
        <f t="shared" si="115"/>
        <v>1306.5764705882393</v>
      </c>
      <c r="AD595" s="137">
        <f t="shared" si="119"/>
        <v>65321.173400207663</v>
      </c>
      <c r="AE595" s="138">
        <v>0.1077</v>
      </c>
      <c r="AF595" s="137">
        <f t="shared" si="110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hidden="1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572</v>
      </c>
      <c r="K596" s="119" t="s">
        <v>573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2"/>
        <v>1821.5776000000001</v>
      </c>
      <c r="U596" s="137">
        <f t="shared" si="116"/>
        <v>24591.297600000002</v>
      </c>
      <c r="V596" s="137">
        <v>0</v>
      </c>
      <c r="W596" s="137">
        <f t="shared" si="117"/>
        <v>24591.297600000002</v>
      </c>
      <c r="X596" s="137">
        <f t="shared" si="113"/>
        <v>22769.72</v>
      </c>
      <c r="Y596" s="137">
        <f t="shared" si="118"/>
        <v>1821.5776000000005</v>
      </c>
      <c r="Z596" s="137">
        <v>24258.66</v>
      </c>
      <c r="AA596" s="137">
        <f t="shared" si="114"/>
        <v>-24258.66</v>
      </c>
      <c r="AB596" s="146">
        <f t="shared" si="120"/>
        <v>22461.722222222219</v>
      </c>
      <c r="AC596" s="147">
        <f t="shared" si="115"/>
        <v>1796.9377777777809</v>
      </c>
      <c r="AD596" s="137">
        <f t="shared" si="119"/>
        <v>23780.214965569081</v>
      </c>
      <c r="AE596" s="138">
        <v>0.31559999999999999</v>
      </c>
      <c r="AF596" s="137">
        <f t="shared" si="110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hidden="1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737</v>
      </c>
      <c r="G597" s="119" t="s">
        <v>737</v>
      </c>
      <c r="H597" s="119" t="s">
        <v>737</v>
      </c>
      <c r="I597" s="163" t="s">
        <v>202</v>
      </c>
      <c r="J597" s="119" t="s">
        <v>572</v>
      </c>
      <c r="K597" s="119" t="s">
        <v>573</v>
      </c>
      <c r="L597" s="119" t="s">
        <v>737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2"/>
        <v>1685.0370000000003</v>
      </c>
      <c r="U597" s="137">
        <f t="shared" si="116"/>
        <v>85936.887000000002</v>
      </c>
      <c r="V597" s="137">
        <v>173400</v>
      </c>
      <c r="W597" s="137">
        <f t="shared" si="117"/>
        <v>-87463.112999999998</v>
      </c>
      <c r="X597" s="137">
        <f t="shared" si="113"/>
        <v>-85748.15</v>
      </c>
      <c r="Y597" s="137">
        <f t="shared" si="118"/>
        <v>-1714.9630000000034</v>
      </c>
      <c r="Z597" s="137">
        <v>85936.89</v>
      </c>
      <c r="AA597" s="137">
        <f t="shared" si="114"/>
        <v>87463.11</v>
      </c>
      <c r="AB597" s="146">
        <f t="shared" si="120"/>
        <v>84251.852941176476</v>
      </c>
      <c r="AC597" s="147">
        <f t="shared" si="115"/>
        <v>1685.0370588235237</v>
      </c>
      <c r="AD597" s="137">
        <f t="shared" si="119"/>
        <v>84241.986889319684</v>
      </c>
      <c r="AE597" s="138">
        <v>0.1077</v>
      </c>
      <c r="AF597" s="137">
        <f t="shared" si="110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hidden="1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737</v>
      </c>
      <c r="G598" s="119" t="s">
        <v>737</v>
      </c>
      <c r="H598" s="119" t="s">
        <v>737</v>
      </c>
      <c r="I598" s="163" t="s">
        <v>202</v>
      </c>
      <c r="J598" s="119" t="s">
        <v>572</v>
      </c>
      <c r="K598" s="119" t="s">
        <v>573</v>
      </c>
      <c r="L598" s="119" t="s">
        <v>737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2"/>
        <v>6151.1016000000009</v>
      </c>
      <c r="U598" s="137">
        <f t="shared" si="116"/>
        <v>83039.871599999999</v>
      </c>
      <c r="V598" s="137">
        <v>0</v>
      </c>
      <c r="W598" s="137">
        <f t="shared" si="117"/>
        <v>83039.871599999999</v>
      </c>
      <c r="X598" s="137">
        <f t="shared" si="113"/>
        <v>76888.76999999999</v>
      </c>
      <c r="Y598" s="137">
        <f t="shared" si="118"/>
        <v>6151.1016000000091</v>
      </c>
      <c r="Z598" s="137">
        <v>80204.59</v>
      </c>
      <c r="AA598" s="137">
        <f t="shared" si="114"/>
        <v>-80204.59</v>
      </c>
      <c r="AB598" s="146">
        <f t="shared" si="120"/>
        <v>74263.509259259255</v>
      </c>
      <c r="AC598" s="147">
        <f t="shared" si="115"/>
        <v>5941.080740740741</v>
      </c>
      <c r="AD598" s="137">
        <f t="shared" si="119"/>
        <v>78622.743029719364</v>
      </c>
      <c r="AE598" s="138">
        <v>0.31559999999999999</v>
      </c>
      <c r="AF598" s="137">
        <f t="shared" si="110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hidden="1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572</v>
      </c>
      <c r="K599" s="119" t="s">
        <v>573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2"/>
        <v>-11866.6068</v>
      </c>
      <c r="U599" s="137">
        <f t="shared" si="116"/>
        <v>-605196.94679999992</v>
      </c>
      <c r="V599" s="137">
        <v>0</v>
      </c>
      <c r="W599" s="137">
        <f t="shared" si="117"/>
        <v>-605196.94679999992</v>
      </c>
      <c r="X599" s="137">
        <f t="shared" si="113"/>
        <v>-593330.33999999985</v>
      </c>
      <c r="Y599" s="137">
        <f t="shared" si="118"/>
        <v>-11866.606800000067</v>
      </c>
      <c r="Z599" s="137">
        <v>0</v>
      </c>
      <c r="AA599" s="137">
        <f t="shared" si="114"/>
        <v>0</v>
      </c>
      <c r="AB599" s="146">
        <f t="shared" si="120"/>
        <v>0</v>
      </c>
      <c r="AC599" s="147">
        <f t="shared" si="115"/>
        <v>0</v>
      </c>
      <c r="AD599" s="137">
        <f t="shared" si="119"/>
        <v>0</v>
      </c>
      <c r="AE599" s="138">
        <v>0.1077</v>
      </c>
      <c r="AF599" s="137">
        <f t="shared" si="110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hidden="1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572</v>
      </c>
      <c r="K600" s="119" t="s">
        <v>573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 t="s">
        <v>1686</v>
      </c>
      <c r="Q600" s="137">
        <v>39458.586490000002</v>
      </c>
      <c r="R600" s="137">
        <v>0</v>
      </c>
      <c r="S600" s="137">
        <v>767197.4</v>
      </c>
      <c r="T600" s="137">
        <f t="shared" si="112"/>
        <v>61375.792000000001</v>
      </c>
      <c r="U600" s="137">
        <f t="shared" si="116"/>
        <v>828573.19200000004</v>
      </c>
      <c r="V600" s="137">
        <v>0</v>
      </c>
      <c r="W600" s="137">
        <f t="shared" si="117"/>
        <v>828573.19200000004</v>
      </c>
      <c r="X600" s="137">
        <f t="shared" si="113"/>
        <v>767197.4</v>
      </c>
      <c r="Y600" s="137">
        <f t="shared" si="118"/>
        <v>61375.792000000016</v>
      </c>
      <c r="Z600" s="137">
        <v>861893.92</v>
      </c>
      <c r="AA600" s="137">
        <f t="shared" si="114"/>
        <v>-822435.33351000003</v>
      </c>
      <c r="AB600" s="146">
        <f>(Z600-Q600-84000)/(1+N600)+2104.22</f>
        <v>685840.63991666667</v>
      </c>
      <c r="AC600" s="147">
        <f t="shared" si="115"/>
        <v>176053.28008333337</v>
      </c>
      <c r="AD600" s="137">
        <f t="shared" si="119"/>
        <v>844895.08881022281</v>
      </c>
      <c r="AE600" s="138">
        <v>0.31559999999999999</v>
      </c>
      <c r="AF600" s="137">
        <f t="shared" si="110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hidden="1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119" t="s">
        <v>238</v>
      </c>
      <c r="G601" s="119" t="s">
        <v>238</v>
      </c>
      <c r="H601" s="119" t="s">
        <v>238</v>
      </c>
      <c r="I601" s="163" t="s">
        <v>202</v>
      </c>
      <c r="J601" s="119" t="s">
        <v>572</v>
      </c>
      <c r="K601" s="119" t="s">
        <v>573</v>
      </c>
      <c r="L601" s="119" t="s">
        <v>238</v>
      </c>
      <c r="M601" s="119" t="s">
        <v>592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2"/>
        <v>0</v>
      </c>
      <c r="U601" s="137">
        <f t="shared" si="116"/>
        <v>273000</v>
      </c>
      <c r="V601" s="137">
        <v>0</v>
      </c>
      <c r="W601" s="137">
        <f t="shared" si="117"/>
        <v>273000</v>
      </c>
      <c r="X601" s="137">
        <f t="shared" si="113"/>
        <v>273000</v>
      </c>
      <c r="Y601" s="137">
        <f t="shared" si="118"/>
        <v>0</v>
      </c>
      <c r="Z601" s="137">
        <v>0</v>
      </c>
      <c r="AA601" s="137">
        <f t="shared" si="114"/>
        <v>0</v>
      </c>
      <c r="AB601" s="146">
        <f>IF(O601="返货",Z601/(1+N601),IF(O601="返现",Z601,IF(O601="折扣",Z601*N601,IF(O601="无",Z601))))</f>
        <v>0</v>
      </c>
      <c r="AC601" s="147">
        <f t="shared" si="115"/>
        <v>0</v>
      </c>
      <c r="AD601" s="137">
        <f t="shared" si="119"/>
        <v>0</v>
      </c>
      <c r="AE601" s="138">
        <v>0.35339999999999999</v>
      </c>
      <c r="AF601" s="137">
        <f t="shared" si="110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119" t="s">
        <v>238</v>
      </c>
      <c r="G602" s="119" t="s">
        <v>238</v>
      </c>
      <c r="H602" s="119" t="s">
        <v>238</v>
      </c>
      <c r="I602" s="163" t="s">
        <v>202</v>
      </c>
      <c r="J602" s="119" t="s">
        <v>572</v>
      </c>
      <c r="K602" s="119" t="s">
        <v>573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2"/>
        <v>0</v>
      </c>
      <c r="U602" s="137">
        <f t="shared" si="116"/>
        <v>50000</v>
      </c>
      <c r="V602" s="137">
        <v>50000</v>
      </c>
      <c r="W602" s="137">
        <f t="shared" si="117"/>
        <v>0</v>
      </c>
      <c r="X602" s="137">
        <f t="shared" si="113"/>
        <v>0</v>
      </c>
      <c r="Y602" s="137">
        <f t="shared" si="118"/>
        <v>0</v>
      </c>
      <c r="Z602" s="137">
        <v>50000</v>
      </c>
      <c r="AA602" s="137">
        <f t="shared" si="114"/>
        <v>0</v>
      </c>
      <c r="AB602" s="146">
        <f>IF(O602="返货",Z602/(1+N602),IF(O602="返现",Z602,IF(O602="折扣",Z602*N602,IF(O602="无",Z602))))</f>
        <v>50000</v>
      </c>
      <c r="AC602" s="147">
        <f t="shared" si="115"/>
        <v>0</v>
      </c>
      <c r="AD602" s="137">
        <f t="shared" si="119"/>
        <v>49013.867554038596</v>
      </c>
      <c r="AE602" s="138">
        <v>0.1077</v>
      </c>
      <c r="AF602" s="137">
        <f t="shared" si="110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hidden="1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572</v>
      </c>
      <c r="K603" s="119" t="s">
        <v>573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f>319807.15+122</f>
        <v>319929.15000000002</v>
      </c>
      <c r="R603" s="137">
        <v>0</v>
      </c>
      <c r="S603" s="137">
        <v>7671429.1100000003</v>
      </c>
      <c r="T603" s="137">
        <f t="shared" si="112"/>
        <v>153428.5822</v>
      </c>
      <c r="U603" s="137">
        <f t="shared" si="116"/>
        <v>7824857.6922000004</v>
      </c>
      <c r="V603" s="137">
        <v>22189504.84</v>
      </c>
      <c r="W603" s="137">
        <f t="shared" si="117"/>
        <v>-14364647.147799999</v>
      </c>
      <c r="X603" s="137">
        <f t="shared" si="113"/>
        <v>-14082987.39980392</v>
      </c>
      <c r="Y603" s="137">
        <f t="shared" si="118"/>
        <v>-281659.7479960788</v>
      </c>
      <c r="Z603" s="137">
        <v>8572486.8399999999</v>
      </c>
      <c r="AA603" s="137">
        <f t="shared" si="114"/>
        <v>13936947.149999999</v>
      </c>
      <c r="AB603" s="146">
        <f>(Z603-Q603)/(1+N603)</f>
        <v>8090742.833333333</v>
      </c>
      <c r="AC603" s="147">
        <f t="shared" si="115"/>
        <v>481744.00666666683</v>
      </c>
      <c r="AD603" s="137">
        <f t="shared" si="119"/>
        <v>8403414.6916899774</v>
      </c>
      <c r="AE603" s="138">
        <v>0.1077</v>
      </c>
      <c r="AF603" s="137">
        <f t="shared" si="110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hidden="1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572</v>
      </c>
      <c r="K604" s="119" t="s">
        <v>573</v>
      </c>
      <c r="L604" s="119" t="s">
        <v>350</v>
      </c>
      <c r="M604" s="119" t="s">
        <v>183</v>
      </c>
      <c r="N604" s="136">
        <v>0.02</v>
      </c>
      <c r="O604" s="135" t="s">
        <v>50</v>
      </c>
      <c r="P604" s="135" t="s">
        <v>1689</v>
      </c>
      <c r="Q604" s="137">
        <v>35443.224000000002</v>
      </c>
      <c r="R604" s="137">
        <v>0</v>
      </c>
      <c r="S604" s="137">
        <v>13318570.890000001</v>
      </c>
      <c r="T604" s="137">
        <f t="shared" si="112"/>
        <v>266371.4178</v>
      </c>
      <c r="U604" s="137">
        <f t="shared" si="116"/>
        <v>13584942.307800001</v>
      </c>
      <c r="V604" s="137">
        <v>0</v>
      </c>
      <c r="W604" s="137">
        <f t="shared" si="117"/>
        <v>13584942.307800001</v>
      </c>
      <c r="X604" s="137">
        <f t="shared" si="113"/>
        <v>13318570.890000001</v>
      </c>
      <c r="Y604" s="137">
        <f t="shared" si="118"/>
        <v>266371.41779999994</v>
      </c>
      <c r="Z604" s="137">
        <v>13972390.369999999</v>
      </c>
      <c r="AA604" s="137">
        <f t="shared" si="114"/>
        <v>-13936947.146</v>
      </c>
      <c r="AB604" s="146">
        <f>(Z604-Q604-779704.84)/(1+N604)</f>
        <v>12899257.162745098</v>
      </c>
      <c r="AC604" s="147">
        <f t="shared" si="115"/>
        <v>1073133.2072549015</v>
      </c>
      <c r="AD604" s="137">
        <f t="shared" si="119"/>
        <v>13696817.820170086</v>
      </c>
      <c r="AE604" s="138">
        <v>0.31559999999999999</v>
      </c>
      <c r="AF604" s="137">
        <f t="shared" si="110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hidden="1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119" t="s">
        <v>350</v>
      </c>
      <c r="G605" s="119" t="s">
        <v>350</v>
      </c>
      <c r="H605" s="119" t="s">
        <v>350</v>
      </c>
      <c r="I605" s="163" t="s">
        <v>202</v>
      </c>
      <c r="J605" s="119" t="s">
        <v>572</v>
      </c>
      <c r="K605" s="119" t="s">
        <v>573</v>
      </c>
      <c r="L605" s="119" t="s">
        <v>350</v>
      </c>
      <c r="M605" s="119" t="s">
        <v>592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2"/>
        <v>0</v>
      </c>
      <c r="U605" s="137">
        <f t="shared" si="116"/>
        <v>170000</v>
      </c>
      <c r="V605" s="137">
        <v>307500</v>
      </c>
      <c r="W605" s="137">
        <f t="shared" si="117"/>
        <v>-137500</v>
      </c>
      <c r="X605" s="137">
        <f t="shared" si="113"/>
        <v>-137500</v>
      </c>
      <c r="Y605" s="137">
        <f t="shared" si="118"/>
        <v>0</v>
      </c>
      <c r="Z605" s="137">
        <v>170000</v>
      </c>
      <c r="AA605" s="137">
        <f t="shared" si="114"/>
        <v>137500</v>
      </c>
      <c r="AB605" s="146">
        <f>IF(O605="返货",Z605/(1+N605),IF(O605="返现",Z605,IF(O605="折扣",Z605*N605,IF(O605="无",Z605))))</f>
        <v>170000</v>
      </c>
      <c r="AC605" s="147">
        <f t="shared" si="115"/>
        <v>0</v>
      </c>
      <c r="AD605" s="137">
        <f t="shared" si="119"/>
        <v>166647.14968373123</v>
      </c>
      <c r="AE605" s="138">
        <v>0.35339999999999999</v>
      </c>
      <c r="AF605" s="137">
        <f t="shared" si="110"/>
        <v>58893.102698230614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119" t="s">
        <v>350</v>
      </c>
      <c r="G606" s="119" t="s">
        <v>350</v>
      </c>
      <c r="H606" s="119" t="s">
        <v>350</v>
      </c>
      <c r="I606" s="163" t="s">
        <v>202</v>
      </c>
      <c r="J606" s="119" t="s">
        <v>572</v>
      </c>
      <c r="K606" s="119" t="s">
        <v>573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2"/>
        <v>0</v>
      </c>
      <c r="U606" s="137">
        <f t="shared" si="116"/>
        <v>547500</v>
      </c>
      <c r="V606" s="137">
        <v>175000</v>
      </c>
      <c r="W606" s="137">
        <f t="shared" si="117"/>
        <v>372500</v>
      </c>
      <c r="X606" s="137">
        <f t="shared" si="113"/>
        <v>372500</v>
      </c>
      <c r="Y606" s="137">
        <f t="shared" si="118"/>
        <v>0</v>
      </c>
      <c r="Z606" s="137">
        <v>175000</v>
      </c>
      <c r="AA606" s="137">
        <f t="shared" si="114"/>
        <v>0</v>
      </c>
      <c r="AB606" s="146">
        <f>IF(O606="返货",Z606/(1+N606),IF(O606="返现",Z606,IF(O606="折扣",Z606*N606,IF(O606="无",Z606))))</f>
        <v>175000</v>
      </c>
      <c r="AC606" s="147">
        <f t="shared" si="115"/>
        <v>0</v>
      </c>
      <c r="AD606" s="137">
        <f t="shared" si="119"/>
        <v>171548.53643913509</v>
      </c>
      <c r="AE606" s="138">
        <v>0.1077</v>
      </c>
      <c r="AF606" s="137">
        <f t="shared" si="110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572</v>
      </c>
      <c r="K607" s="119" t="s">
        <v>573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2"/>
        <v>143392.71039999998</v>
      </c>
      <c r="U607" s="137">
        <f t="shared" si="116"/>
        <v>7313028.2303999998</v>
      </c>
      <c r="V607" s="137">
        <v>7510000</v>
      </c>
      <c r="W607" s="137">
        <f t="shared" si="117"/>
        <v>-196971.76960000023</v>
      </c>
      <c r="X607" s="137">
        <f t="shared" si="113"/>
        <v>-193109.57803921591</v>
      </c>
      <c r="Y607" s="137">
        <f t="shared" si="118"/>
        <v>-3862.1915607843257</v>
      </c>
      <c r="Z607" s="137">
        <v>5922042.4199999999</v>
      </c>
      <c r="AA607" s="137">
        <f t="shared" si="114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5"/>
        <v>228215.1454901956</v>
      </c>
      <c r="AD607" s="137">
        <f t="shared" si="119"/>
        <v>5805244.0564655643</v>
      </c>
      <c r="AE607" s="138">
        <v>0.1077</v>
      </c>
      <c r="AF607" s="137">
        <f t="shared" si="110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608</v>
      </c>
      <c r="AM607" s="131"/>
    </row>
    <row r="608" spans="1:39" s="119" customFormat="1" ht="15" hidden="1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572</v>
      </c>
      <c r="K608" s="119" t="s">
        <v>573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2"/>
        <v>609883.8432</v>
      </c>
      <c r="U608" s="137">
        <f t="shared" si="116"/>
        <v>8233431.8832</v>
      </c>
      <c r="V608" s="137">
        <v>0</v>
      </c>
      <c r="W608" s="137">
        <f t="shared" si="117"/>
        <v>8233431.8832</v>
      </c>
      <c r="X608" s="137">
        <f t="shared" si="113"/>
        <v>7623548.0399999991</v>
      </c>
      <c r="Y608" s="137">
        <f t="shared" si="118"/>
        <v>609883.84320000093</v>
      </c>
      <c r="Z608" s="137">
        <v>1752338.04</v>
      </c>
      <c r="AA608" s="137">
        <f t="shared" si="114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5"/>
        <v>176099.1140740742</v>
      </c>
      <c r="AD608" s="137">
        <f t="shared" si="119"/>
        <v>1717777.2920492718</v>
      </c>
      <c r="AE608" s="138">
        <v>0.31559999999999999</v>
      </c>
      <c r="AF608" s="137">
        <f t="shared" si="110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hidden="1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119" t="s">
        <v>195</v>
      </c>
      <c r="G609" s="119" t="s">
        <v>195</v>
      </c>
      <c r="H609" s="119" t="s">
        <v>195</v>
      </c>
      <c r="I609" s="163" t="s">
        <v>202</v>
      </c>
      <c r="J609" s="119" t="s">
        <v>572</v>
      </c>
      <c r="K609" s="119" t="s">
        <v>573</v>
      </c>
      <c r="L609" s="119" t="s">
        <v>195</v>
      </c>
      <c r="M609" s="119" t="s">
        <v>592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2"/>
        <v>0</v>
      </c>
      <c r="U609" s="137">
        <f t="shared" si="116"/>
        <v>31500</v>
      </c>
      <c r="V609" s="137">
        <v>31500</v>
      </c>
      <c r="W609" s="137">
        <f t="shared" si="117"/>
        <v>0</v>
      </c>
      <c r="X609" s="137">
        <f t="shared" si="113"/>
        <v>0</v>
      </c>
      <c r="Y609" s="137">
        <f t="shared" si="118"/>
        <v>0</v>
      </c>
      <c r="Z609" s="137">
        <v>31500</v>
      </c>
      <c r="AA609" s="137">
        <f t="shared" si="114"/>
        <v>0</v>
      </c>
      <c r="AB609" s="146">
        <f>IF(O609="返货",Z609/(1+N609),IF(O609="返现",Z609,IF(O609="折扣",Z609*N609,IF(O609="无",Z609))))</f>
        <v>31500</v>
      </c>
      <c r="AC609" s="147">
        <f t="shared" si="115"/>
        <v>0</v>
      </c>
      <c r="AD609" s="137">
        <f t="shared" si="119"/>
        <v>30878.736559044315</v>
      </c>
      <c r="AE609" s="138">
        <v>0.35339999999999999</v>
      </c>
      <c r="AF609" s="137">
        <f t="shared" si="110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hidden="1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119" t="s">
        <v>195</v>
      </c>
      <c r="G610" s="119" t="s">
        <v>195</v>
      </c>
      <c r="H610" s="119" t="s">
        <v>195</v>
      </c>
      <c r="I610" s="163" t="s">
        <v>202</v>
      </c>
      <c r="J610" s="119" t="s">
        <v>572</v>
      </c>
      <c r="K610" s="119" t="s">
        <v>573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2"/>
        <v>0</v>
      </c>
      <c r="U610" s="137">
        <f t="shared" si="116"/>
        <v>180000</v>
      </c>
      <c r="V610" s="137">
        <v>180000</v>
      </c>
      <c r="W610" s="137">
        <f t="shared" si="117"/>
        <v>0</v>
      </c>
      <c r="X610" s="137">
        <f t="shared" si="113"/>
        <v>0</v>
      </c>
      <c r="Y610" s="137">
        <f t="shared" si="118"/>
        <v>0</v>
      </c>
      <c r="Z610" s="137">
        <v>180000</v>
      </c>
      <c r="AA610" s="137">
        <f t="shared" si="114"/>
        <v>0</v>
      </c>
      <c r="AB610" s="146">
        <f>IF(O610="返货",Z610/(1+N610),IF(O610="返现",Z610,IF(O610="折扣",Z610*N610,IF(O610="无",Z610))))</f>
        <v>180000</v>
      </c>
      <c r="AC610" s="147">
        <f t="shared" si="115"/>
        <v>0</v>
      </c>
      <c r="AD610" s="137">
        <f t="shared" si="119"/>
        <v>176449.92319453895</v>
      </c>
      <c r="AE610" s="138">
        <v>0.1077</v>
      </c>
      <c r="AF610" s="137">
        <f t="shared" si="110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hidden="1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554</v>
      </c>
      <c r="G611" s="119" t="s">
        <v>554</v>
      </c>
      <c r="H611" s="119" t="s">
        <v>554</v>
      </c>
      <c r="I611" s="163" t="s">
        <v>202</v>
      </c>
      <c r="J611" s="119" t="s">
        <v>572</v>
      </c>
      <c r="K611" s="119" t="s">
        <v>573</v>
      </c>
      <c r="L611" s="119" t="s">
        <v>554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2"/>
        <v>200</v>
      </c>
      <c r="U611" s="137">
        <f t="shared" si="116"/>
        <v>10200</v>
      </c>
      <c r="V611" s="137">
        <v>10000</v>
      </c>
      <c r="W611" s="137">
        <f t="shared" si="117"/>
        <v>200</v>
      </c>
      <c r="X611" s="137">
        <f t="shared" si="113"/>
        <v>196.07843137254901</v>
      </c>
      <c r="Y611" s="137">
        <f t="shared" si="118"/>
        <v>3.9215686274509949</v>
      </c>
      <c r="Z611" s="137">
        <v>13500</v>
      </c>
      <c r="AA611" s="137">
        <f t="shared" si="114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5"/>
        <v>3696.0784313725489</v>
      </c>
      <c r="AD611" s="137">
        <f t="shared" si="119"/>
        <v>13233.744239590422</v>
      </c>
      <c r="AE611" s="138">
        <v>0.1077</v>
      </c>
      <c r="AF611" s="137">
        <f t="shared" si="110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hidden="1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738</v>
      </c>
      <c r="G612" s="119" t="s">
        <v>738</v>
      </c>
      <c r="H612" s="119" t="s">
        <v>738</v>
      </c>
      <c r="I612" s="163" t="s">
        <v>202</v>
      </c>
      <c r="J612" s="119" t="s">
        <v>572</v>
      </c>
      <c r="K612" s="119" t="s">
        <v>573</v>
      </c>
      <c r="L612" s="119" t="s">
        <v>739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2"/>
        <v>400</v>
      </c>
      <c r="U612" s="137">
        <f t="shared" si="116"/>
        <v>20400</v>
      </c>
      <c r="V612" s="137">
        <v>20000</v>
      </c>
      <c r="W612" s="137">
        <f t="shared" si="117"/>
        <v>400</v>
      </c>
      <c r="X612" s="137">
        <f t="shared" si="113"/>
        <v>392.15686274509801</v>
      </c>
      <c r="Y612" s="137">
        <f t="shared" si="118"/>
        <v>7.8431372549019898</v>
      </c>
      <c r="Z612" s="137">
        <v>17504.93</v>
      </c>
      <c r="AA612" s="137">
        <f t="shared" si="114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5"/>
        <v>3041.2241176470598</v>
      </c>
      <c r="AD612" s="137">
        <f t="shared" si="119"/>
        <v>17159.686411254337</v>
      </c>
      <c r="AE612" s="138">
        <v>0.1077</v>
      </c>
      <c r="AF612" s="137">
        <f t="shared" si="110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740</v>
      </c>
      <c r="G613" s="119" t="s">
        <v>740</v>
      </c>
      <c r="H613" s="119" t="s">
        <v>740</v>
      </c>
      <c r="I613" s="163" t="s">
        <v>202</v>
      </c>
      <c r="J613" s="119" t="s">
        <v>572</v>
      </c>
      <c r="K613" s="119" t="s">
        <v>573</v>
      </c>
      <c r="L613" s="119" t="s">
        <v>740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2"/>
        <v>1300.5202000000002</v>
      </c>
      <c r="U613" s="137">
        <f t="shared" si="116"/>
        <v>66326.530200000008</v>
      </c>
      <c r="V613" s="137">
        <v>71400</v>
      </c>
      <c r="W613" s="137">
        <f t="shared" si="117"/>
        <v>-5073.4697999999917</v>
      </c>
      <c r="X613" s="137">
        <f t="shared" si="113"/>
        <v>-4973.9899999999916</v>
      </c>
      <c r="Y613" s="137">
        <f t="shared" si="118"/>
        <v>-99.479800000000068</v>
      </c>
      <c r="Z613" s="137">
        <v>66326.53</v>
      </c>
      <c r="AA613" s="137">
        <f t="shared" si="114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5"/>
        <v>1300.5201960784325</v>
      </c>
      <c r="AD613" s="137">
        <f t="shared" si="119"/>
        <v>65018.395134779355</v>
      </c>
      <c r="AE613" s="138">
        <v>0.1077</v>
      </c>
      <c r="AF613" s="137">
        <f t="shared" si="110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hidden="1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740</v>
      </c>
      <c r="G614" s="119" t="s">
        <v>740</v>
      </c>
      <c r="H614" s="119" t="s">
        <v>740</v>
      </c>
      <c r="I614" s="163" t="s">
        <v>202</v>
      </c>
      <c r="J614" s="119" t="s">
        <v>572</v>
      </c>
      <c r="K614" s="119" t="s">
        <v>573</v>
      </c>
      <c r="L614" s="119" t="s">
        <v>740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2"/>
        <v>394.44880000000001</v>
      </c>
      <c r="U614" s="137">
        <f t="shared" si="116"/>
        <v>5325.0587999999998</v>
      </c>
      <c r="V614" s="137">
        <v>0</v>
      </c>
      <c r="W614" s="137">
        <f t="shared" si="117"/>
        <v>5325.0587999999998</v>
      </c>
      <c r="X614" s="137">
        <f t="shared" si="113"/>
        <v>4930.6099999999997</v>
      </c>
      <c r="Y614" s="137">
        <f t="shared" si="118"/>
        <v>394.44880000000012</v>
      </c>
      <c r="Z614" s="137">
        <v>5073.47</v>
      </c>
      <c r="AA614" s="137">
        <f t="shared" si="114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5"/>
        <v>375.81259259259332</v>
      </c>
      <c r="AD614" s="137">
        <f t="shared" si="119"/>
        <v>4973.4077323877646</v>
      </c>
      <c r="AE614" s="138">
        <v>0.31559999999999999</v>
      </c>
      <c r="AF614" s="137">
        <f t="shared" si="110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hidden="1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572</v>
      </c>
      <c r="K615" s="119" t="s">
        <v>573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2"/>
        <v>1181.9248</v>
      </c>
      <c r="U615" s="137">
        <f t="shared" si="116"/>
        <v>60278.164799999999</v>
      </c>
      <c r="V615" s="137">
        <v>0</v>
      </c>
      <c r="W615" s="137">
        <f t="shared" si="117"/>
        <v>60278.164799999999</v>
      </c>
      <c r="X615" s="137">
        <f t="shared" si="113"/>
        <v>59096.24</v>
      </c>
      <c r="Y615" s="137">
        <f t="shared" si="118"/>
        <v>1181.9248000000007</v>
      </c>
      <c r="Z615" s="137">
        <v>0</v>
      </c>
      <c r="AA615" s="137">
        <f t="shared" si="114"/>
        <v>0</v>
      </c>
      <c r="AB615" s="146">
        <f>IF(O615="返货",Z615/(1+N615),IF(O615="返现",Z615,IF(O615="折扣",Z615*N615,IF(O615="无",Z615))))</f>
        <v>0</v>
      </c>
      <c r="AC615" s="147">
        <f t="shared" si="115"/>
        <v>0</v>
      </c>
      <c r="AD615" s="137">
        <f t="shared" ref="AD615:AD646" si="121">Z615*0.980277351080772</f>
        <v>0</v>
      </c>
      <c r="AE615" s="138">
        <v>0.1077</v>
      </c>
      <c r="AF615" s="137">
        <f t="shared" si="110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hidden="1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572</v>
      </c>
      <c r="K616" s="119" t="s">
        <v>573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2"/>
        <v>2046.3271999999999</v>
      </c>
      <c r="U616" s="137">
        <f t="shared" si="116"/>
        <v>27625.4172</v>
      </c>
      <c r="V616" s="137">
        <v>0</v>
      </c>
      <c r="W616" s="137">
        <f t="shared" si="117"/>
        <v>27625.4172</v>
      </c>
      <c r="X616" s="137">
        <f t="shared" si="113"/>
        <v>25579.089999999997</v>
      </c>
      <c r="Y616" s="137">
        <f t="shared" si="118"/>
        <v>2046.3272000000034</v>
      </c>
      <c r="Z616" s="137">
        <v>35150.910000000003</v>
      </c>
      <c r="AA616" s="137">
        <f t="shared" si="114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5"/>
        <v>10129.711574074077</v>
      </c>
      <c r="AD616" s="137">
        <f t="shared" si="121"/>
        <v>34457.640942878621</v>
      </c>
      <c r="AE616" s="138">
        <v>0.31559999999999999</v>
      </c>
      <c r="AF616" s="137">
        <f t="shared" si="110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hidden="1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741</v>
      </c>
      <c r="G617" s="119" t="s">
        <v>742</v>
      </c>
      <c r="H617" s="119" t="s">
        <v>742</v>
      </c>
      <c r="I617" s="163" t="s">
        <v>202</v>
      </c>
      <c r="J617" s="119" t="s">
        <v>572</v>
      </c>
      <c r="K617" s="119" t="s">
        <v>573</v>
      </c>
      <c r="L617" s="119" t="s">
        <v>743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2"/>
        <v>12000</v>
      </c>
      <c r="U617" s="137">
        <f t="shared" si="116"/>
        <v>612000</v>
      </c>
      <c r="V617" s="137">
        <v>612000</v>
      </c>
      <c r="W617" s="137">
        <f t="shared" si="117"/>
        <v>0</v>
      </c>
      <c r="X617" s="137">
        <f t="shared" si="113"/>
        <v>0</v>
      </c>
      <c r="Y617" s="137">
        <f t="shared" si="118"/>
        <v>0</v>
      </c>
      <c r="Z617" s="137">
        <v>612000</v>
      </c>
      <c r="AA617" s="137">
        <f t="shared" si="114"/>
        <v>0</v>
      </c>
      <c r="AB617" s="146">
        <f>IF(O617="返货",Z617/(1+N617),IF(O617="返现",Z617,IF(O617="折扣",Z617*N617,IF(O617="无",Z617))))</f>
        <v>600000</v>
      </c>
      <c r="AC617" s="147">
        <f t="shared" si="115"/>
        <v>12000</v>
      </c>
      <c r="AD617" s="137">
        <f t="shared" si="121"/>
        <v>599929.73886143242</v>
      </c>
      <c r="AE617" s="138">
        <v>0.1077</v>
      </c>
      <c r="AF617" s="137">
        <f t="shared" si="110"/>
        <v>64612.432875376275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hidden="1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743</v>
      </c>
      <c r="G618" s="119" t="s">
        <v>743</v>
      </c>
      <c r="H618" s="119" t="s">
        <v>743</v>
      </c>
      <c r="I618" s="163" t="s">
        <v>202</v>
      </c>
      <c r="J618" s="119" t="s">
        <v>572</v>
      </c>
      <c r="K618" s="119" t="s">
        <v>573</v>
      </c>
      <c r="L618" s="119" t="s">
        <v>743</v>
      </c>
      <c r="M618" s="119" t="s">
        <v>45</v>
      </c>
      <c r="N618" s="136">
        <v>0</v>
      </c>
      <c r="O618" s="135" t="s">
        <v>46</v>
      </c>
      <c r="P618" s="135"/>
      <c r="Q618" s="137">
        <f>438196.19+332.23</f>
        <v>438528.42</v>
      </c>
      <c r="R618" s="137">
        <v>0</v>
      </c>
      <c r="S618" s="137">
        <v>3841514.46</v>
      </c>
      <c r="T618" s="137">
        <f t="shared" si="112"/>
        <v>0</v>
      </c>
      <c r="U618" s="137">
        <f t="shared" si="116"/>
        <v>3841514.46</v>
      </c>
      <c r="V618" s="137">
        <v>8000000</v>
      </c>
      <c r="W618" s="137">
        <f t="shared" si="117"/>
        <v>-4158485.54</v>
      </c>
      <c r="X618" s="137">
        <f t="shared" si="113"/>
        <v>-4158485.54</v>
      </c>
      <c r="Y618" s="137">
        <f t="shared" si="118"/>
        <v>0</v>
      </c>
      <c r="Z618" s="137">
        <v>3880042.88</v>
      </c>
      <c r="AA618" s="137">
        <f t="shared" si="114"/>
        <v>4558485.54</v>
      </c>
      <c r="AB618" s="146">
        <f>(Z618-Q618)/(1+N618)</f>
        <v>3441514.46</v>
      </c>
      <c r="AC618" s="147">
        <f t="shared" si="115"/>
        <v>438528.41999999993</v>
      </c>
      <c r="AD618" s="137">
        <f t="shared" si="121"/>
        <v>3803518.1564862095</v>
      </c>
      <c r="AE618" s="138">
        <v>0.1077</v>
      </c>
      <c r="AF618" s="137">
        <f t="shared" si="110"/>
        <v>409638.90545356477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hidden="1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743</v>
      </c>
      <c r="G619" s="119" t="s">
        <v>743</v>
      </c>
      <c r="H619" s="119" t="s">
        <v>743</v>
      </c>
      <c r="I619" s="163" t="s">
        <v>202</v>
      </c>
      <c r="J619" s="119" t="s">
        <v>572</v>
      </c>
      <c r="K619" s="119" t="s">
        <v>573</v>
      </c>
      <c r="L619" s="119" t="s">
        <v>743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2"/>
        <v>0</v>
      </c>
      <c r="U619" s="137">
        <f t="shared" si="116"/>
        <v>2640386.73</v>
      </c>
      <c r="V619" s="137">
        <v>0</v>
      </c>
      <c r="W619" s="137">
        <f t="shared" si="117"/>
        <v>2640386.73</v>
      </c>
      <c r="X619" s="137">
        <f t="shared" si="113"/>
        <v>2640386.73</v>
      </c>
      <c r="Y619" s="137">
        <f t="shared" si="118"/>
        <v>0</v>
      </c>
      <c r="Z619" s="137">
        <v>2640386.7200000002</v>
      </c>
      <c r="AA619" s="137">
        <f t="shared" si="114"/>
        <v>-2640386.7200000002</v>
      </c>
      <c r="AB619" s="146">
        <f>Z619/(1+N619)</f>
        <v>2640386.7200000002</v>
      </c>
      <c r="AC619" s="147">
        <f t="shared" si="115"/>
        <v>0</v>
      </c>
      <c r="AD619" s="137">
        <f t="shared" si="121"/>
        <v>2588311.2997104484</v>
      </c>
      <c r="AE619" s="138">
        <v>0.31559999999999999</v>
      </c>
      <c r="AF619" s="137">
        <f t="shared" si="110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hidden="1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744</v>
      </c>
      <c r="G620" s="119" t="s">
        <v>745</v>
      </c>
      <c r="H620" s="119" t="s">
        <v>745</v>
      </c>
      <c r="I620" s="163" t="s">
        <v>202</v>
      </c>
      <c r="J620" s="119" t="s">
        <v>572</v>
      </c>
      <c r="K620" s="119" t="s">
        <v>573</v>
      </c>
      <c r="L620" s="119" t="s">
        <v>744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2"/>
        <v>400</v>
      </c>
      <c r="U620" s="137">
        <f t="shared" si="116"/>
        <v>20400</v>
      </c>
      <c r="V620" s="137">
        <v>20400</v>
      </c>
      <c r="W620" s="137">
        <f t="shared" si="117"/>
        <v>0</v>
      </c>
      <c r="X620" s="137">
        <f t="shared" si="113"/>
        <v>0</v>
      </c>
      <c r="Y620" s="137">
        <f t="shared" si="118"/>
        <v>0</v>
      </c>
      <c r="Z620" s="137">
        <v>20400</v>
      </c>
      <c r="AA620" s="137">
        <f t="shared" si="114"/>
        <v>0</v>
      </c>
      <c r="AB620" s="146">
        <f t="shared" ref="AB620:AB628" si="122">IF(O620="返货",Z620/(1+N620),IF(O620="返现",Z620,IF(O620="折扣",Z620*N620,IF(O620="无",Z620))))</f>
        <v>20000</v>
      </c>
      <c r="AC620" s="147">
        <f t="shared" si="115"/>
        <v>400</v>
      </c>
      <c r="AD620" s="137">
        <f t="shared" si="121"/>
        <v>19997.65796204775</v>
      </c>
      <c r="AE620" s="138">
        <v>0.1077</v>
      </c>
      <c r="AF620" s="137">
        <f t="shared" si="110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hidden="1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746</v>
      </c>
      <c r="G621" s="119" t="s">
        <v>746</v>
      </c>
      <c r="H621" s="119" t="s">
        <v>746</v>
      </c>
      <c r="I621" s="163" t="s">
        <v>202</v>
      </c>
      <c r="J621" s="119" t="s">
        <v>572</v>
      </c>
      <c r="K621" s="119" t="s">
        <v>573</v>
      </c>
      <c r="L621" s="119" t="s">
        <v>746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2"/>
        <v>80.5608</v>
      </c>
      <c r="U621" s="137">
        <f t="shared" si="116"/>
        <v>4108.6008000000002</v>
      </c>
      <c r="V621" s="137">
        <v>4108.6000000000004</v>
      </c>
      <c r="W621" s="137">
        <f t="shared" si="117"/>
        <v>7.9999999979918357E-4</v>
      </c>
      <c r="X621" s="137">
        <f t="shared" si="113"/>
        <v>7.8431372529331718E-4</v>
      </c>
      <c r="Y621" s="137">
        <f t="shared" si="118"/>
        <v>1.5686274505866387E-5</v>
      </c>
      <c r="Z621" s="137">
        <v>4108.6000000000004</v>
      </c>
      <c r="AA621" s="137">
        <f t="shared" si="114"/>
        <v>0</v>
      </c>
      <c r="AB621" s="146">
        <f t="shared" si="122"/>
        <v>4028.0392156862749</v>
      </c>
      <c r="AC621" s="147">
        <f t="shared" si="115"/>
        <v>80.560784313725435</v>
      </c>
      <c r="AD621" s="137">
        <f t="shared" si="121"/>
        <v>4027.5675246504602</v>
      </c>
      <c r="AE621" s="138">
        <v>0.1077</v>
      </c>
      <c r="AF621" s="137">
        <f t="shared" si="110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hidden="1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747</v>
      </c>
      <c r="G622" s="119" t="s">
        <v>747</v>
      </c>
      <c r="H622" s="119" t="s">
        <v>747</v>
      </c>
      <c r="I622" s="163" t="s">
        <v>202</v>
      </c>
      <c r="J622" s="119" t="s">
        <v>572</v>
      </c>
      <c r="K622" s="119" t="s">
        <v>573</v>
      </c>
      <c r="L622" s="119" t="s">
        <v>748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2"/>
        <v>294.11699999999996</v>
      </c>
      <c r="U622" s="137">
        <f t="shared" si="116"/>
        <v>2254.8969999999999</v>
      </c>
      <c r="V622" s="137">
        <v>0</v>
      </c>
      <c r="W622" s="137">
        <f t="shared" si="117"/>
        <v>2254.8969999999999</v>
      </c>
      <c r="X622" s="137">
        <f t="shared" si="113"/>
        <v>1960.7800000000002</v>
      </c>
      <c r="Y622" s="137">
        <f t="shared" si="118"/>
        <v>294.11699999999973</v>
      </c>
      <c r="Z622" s="137">
        <v>2000</v>
      </c>
      <c r="AA622" s="137">
        <f t="shared" si="114"/>
        <v>-2000</v>
      </c>
      <c r="AB622" s="146">
        <f t="shared" si="122"/>
        <v>1739.1304347826087</v>
      </c>
      <c r="AC622" s="147">
        <f t="shared" si="115"/>
        <v>260.86956521739125</v>
      </c>
      <c r="AD622" s="137">
        <f t="shared" si="121"/>
        <v>1960.5547021615439</v>
      </c>
      <c r="AE622" s="138">
        <v>0.31559999999999999</v>
      </c>
      <c r="AF622" s="137">
        <f t="shared" si="110"/>
        <v>618.75106400218328</v>
      </c>
      <c r="AG622" s="137">
        <v>370.33043478260902</v>
      </c>
      <c r="AH622" s="154"/>
      <c r="AI622" s="154"/>
      <c r="AJ622" s="135" t="s">
        <v>659</v>
      </c>
      <c r="AK622" s="119" t="s">
        <v>659</v>
      </c>
      <c r="AM622" s="131"/>
    </row>
    <row r="623" spans="1:39" s="119" customFormat="1" ht="15" hidden="1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747</v>
      </c>
      <c r="G623" s="119" t="s">
        <v>747</v>
      </c>
      <c r="H623" s="119" t="s">
        <v>747</v>
      </c>
      <c r="I623" s="163" t="s">
        <v>202</v>
      </c>
      <c r="J623" s="119" t="s">
        <v>572</v>
      </c>
      <c r="K623" s="119" t="s">
        <v>573</v>
      </c>
      <c r="L623" s="119" t="s">
        <v>748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2"/>
        <v>4401.9610000000002</v>
      </c>
      <c r="U623" s="137">
        <f t="shared" si="116"/>
        <v>92441.180999999997</v>
      </c>
      <c r="V623" s="137">
        <v>91800</v>
      </c>
      <c r="W623" s="137">
        <f t="shared" si="117"/>
        <v>641.18099999999686</v>
      </c>
      <c r="X623" s="137">
        <f t="shared" si="113"/>
        <v>610.6485714285684</v>
      </c>
      <c r="Y623" s="137">
        <f t="shared" si="118"/>
        <v>30.532428571428454</v>
      </c>
      <c r="Z623" s="137">
        <v>89800</v>
      </c>
      <c r="AA623" s="137">
        <f t="shared" si="114"/>
        <v>2000</v>
      </c>
      <c r="AB623" s="146">
        <f t="shared" si="122"/>
        <v>85523.809523809527</v>
      </c>
      <c r="AC623" s="147">
        <f t="shared" si="115"/>
        <v>4276.1904761904734</v>
      </c>
      <c r="AD623" s="137">
        <f t="shared" si="121"/>
        <v>88028.906127053328</v>
      </c>
      <c r="AE623" s="138">
        <v>0.1077</v>
      </c>
      <c r="AF623" s="137">
        <f t="shared" ref="AF623:AF686" si="123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hidden="1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475</v>
      </c>
      <c r="G624" s="119" t="s">
        <v>475</v>
      </c>
      <c r="H624" s="119" t="s">
        <v>475</v>
      </c>
      <c r="I624" s="163" t="s">
        <v>202</v>
      </c>
      <c r="J624" s="119" t="s">
        <v>572</v>
      </c>
      <c r="K624" s="119" t="s">
        <v>573</v>
      </c>
      <c r="L624" s="119" t="s">
        <v>475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2"/>
        <v>7920.4957999999997</v>
      </c>
      <c r="U624" s="137">
        <f t="shared" si="116"/>
        <v>403945.28579999995</v>
      </c>
      <c r="V624" s="137">
        <v>447000</v>
      </c>
      <c r="W624" s="137">
        <f t="shared" si="117"/>
        <v>-43054.714200000046</v>
      </c>
      <c r="X624" s="137">
        <f t="shared" si="113"/>
        <v>-42210.504117647106</v>
      </c>
      <c r="Y624" s="137">
        <f t="shared" si="118"/>
        <v>-844.21008235293993</v>
      </c>
      <c r="Z624" s="137">
        <v>403945.29</v>
      </c>
      <c r="AA624" s="137">
        <f t="shared" si="114"/>
        <v>43054.710000000021</v>
      </c>
      <c r="AB624" s="146">
        <f t="shared" si="122"/>
        <v>396024.79411764705</v>
      </c>
      <c r="AC624" s="147">
        <f t="shared" si="115"/>
        <v>7920.4958823529305</v>
      </c>
      <c r="AD624" s="137">
        <f t="shared" si="121"/>
        <v>395978.41886275425</v>
      </c>
      <c r="AE624" s="138">
        <v>0.1077</v>
      </c>
      <c r="AF624" s="137">
        <f t="shared" si="123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hidden="1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475</v>
      </c>
      <c r="G625" s="119" t="s">
        <v>475</v>
      </c>
      <c r="H625" s="119" t="s">
        <v>475</v>
      </c>
      <c r="I625" s="163" t="s">
        <v>202</v>
      </c>
      <c r="J625" s="119" t="s">
        <v>572</v>
      </c>
      <c r="K625" s="119" t="s">
        <v>573</v>
      </c>
      <c r="L625" s="119" t="s">
        <v>475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2"/>
        <v>838.33759999999995</v>
      </c>
      <c r="U625" s="137">
        <f t="shared" si="116"/>
        <v>11317.5576</v>
      </c>
      <c r="V625" s="137">
        <v>0</v>
      </c>
      <c r="W625" s="137">
        <f t="shared" si="117"/>
        <v>11317.5576</v>
      </c>
      <c r="X625" s="137">
        <f t="shared" si="113"/>
        <v>10479.219999999999</v>
      </c>
      <c r="Y625" s="137">
        <f t="shared" si="118"/>
        <v>838.33760000000075</v>
      </c>
      <c r="Z625" s="137">
        <v>10688.8</v>
      </c>
      <c r="AA625" s="137">
        <f t="shared" si="114"/>
        <v>-10688.8</v>
      </c>
      <c r="AB625" s="146">
        <f t="shared" si="122"/>
        <v>9897.0370370370365</v>
      </c>
      <c r="AC625" s="147">
        <f t="shared" si="115"/>
        <v>791.76296296296277</v>
      </c>
      <c r="AD625" s="137">
        <f t="shared" si="121"/>
        <v>10477.988550232154</v>
      </c>
      <c r="AE625" s="138">
        <v>0.31559999999999999</v>
      </c>
      <c r="AF625" s="137">
        <f t="shared" si="123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hidden="1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749</v>
      </c>
      <c r="G626" s="119" t="s">
        <v>750</v>
      </c>
      <c r="H626" s="119" t="s">
        <v>750</v>
      </c>
      <c r="I626" s="163" t="s">
        <v>202</v>
      </c>
      <c r="J626" s="119" t="s">
        <v>572</v>
      </c>
      <c r="K626" s="119" t="s">
        <v>573</v>
      </c>
      <c r="L626" s="119" t="s">
        <v>749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2"/>
        <v>6200</v>
      </c>
      <c r="U626" s="137">
        <f t="shared" si="116"/>
        <v>316200</v>
      </c>
      <c r="V626" s="137">
        <v>316200</v>
      </c>
      <c r="W626" s="137">
        <f t="shared" si="117"/>
        <v>0</v>
      </c>
      <c r="X626" s="137">
        <f t="shared" si="113"/>
        <v>0</v>
      </c>
      <c r="Y626" s="137">
        <f t="shared" si="118"/>
        <v>0</v>
      </c>
      <c r="Z626" s="137">
        <v>301271.5</v>
      </c>
      <c r="AA626" s="137">
        <f t="shared" si="114"/>
        <v>14928.5</v>
      </c>
      <c r="AB626" s="146">
        <f t="shared" si="122"/>
        <v>295364.21568627452</v>
      </c>
      <c r="AC626" s="147">
        <f t="shared" si="115"/>
        <v>5907.2843137254822</v>
      </c>
      <c r="AD626" s="137">
        <f t="shared" si="121"/>
        <v>295329.62797613081</v>
      </c>
      <c r="AE626" s="138">
        <v>0.1077</v>
      </c>
      <c r="AF626" s="137">
        <f t="shared" si="123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hidden="1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572</v>
      </c>
      <c r="K627" s="119" t="s">
        <v>573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2"/>
        <v>661.42259999999999</v>
      </c>
      <c r="U627" s="137">
        <f t="shared" si="116"/>
        <v>33732.552599999995</v>
      </c>
      <c r="V627" s="137">
        <v>61200</v>
      </c>
      <c r="W627" s="137">
        <f t="shared" si="117"/>
        <v>-27467.447400000005</v>
      </c>
      <c r="X627" s="137">
        <f t="shared" si="113"/>
        <v>-26928.870000000003</v>
      </c>
      <c r="Y627" s="137">
        <f t="shared" si="118"/>
        <v>-538.57740000000194</v>
      </c>
      <c r="Z627" s="137">
        <v>54132.55</v>
      </c>
      <c r="AA627" s="137">
        <f t="shared" si="114"/>
        <v>7067.4499999999971</v>
      </c>
      <c r="AB627" s="146">
        <f t="shared" si="122"/>
        <v>53071.127450980392</v>
      </c>
      <c r="AC627" s="147">
        <f t="shared" si="115"/>
        <v>1061.4225490196113</v>
      </c>
      <c r="AD627" s="137">
        <f t="shared" si="121"/>
        <v>53064.912721247449</v>
      </c>
      <c r="AE627" s="138">
        <v>0.1077</v>
      </c>
      <c r="AF627" s="137">
        <f t="shared" si="123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hidden="1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572</v>
      </c>
      <c r="K628" s="119" t="s">
        <v>573</v>
      </c>
      <c r="L628" s="119" t="s">
        <v>272</v>
      </c>
      <c r="M628" s="119" t="s">
        <v>183</v>
      </c>
      <c r="N628" s="136">
        <v>0.02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2"/>
        <v>92.1798</v>
      </c>
      <c r="U628" s="137">
        <f t="shared" si="116"/>
        <v>4701.1697999999997</v>
      </c>
      <c r="V628" s="137">
        <v>0</v>
      </c>
      <c r="W628" s="137">
        <f t="shared" si="117"/>
        <v>4701.1697999999997</v>
      </c>
      <c r="X628" s="137">
        <f t="shared" si="113"/>
        <v>4608.99</v>
      </c>
      <c r="Y628" s="137">
        <f t="shared" si="118"/>
        <v>92.179799999999886</v>
      </c>
      <c r="Z628" s="137">
        <v>4729.1400000000003</v>
      </c>
      <c r="AA628" s="137">
        <f t="shared" si="114"/>
        <v>-4729.1400000000003</v>
      </c>
      <c r="AB628" s="146">
        <f t="shared" si="122"/>
        <v>4636.4117647058829</v>
      </c>
      <c r="AC628" s="147">
        <f t="shared" si="115"/>
        <v>92.728235294117439</v>
      </c>
      <c r="AD628" s="137">
        <f t="shared" si="121"/>
        <v>4635.8688320901219</v>
      </c>
      <c r="AE628" s="138">
        <v>0.31559999999999999</v>
      </c>
      <c r="AF628" s="137">
        <f t="shared" si="123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hidden="1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751</v>
      </c>
      <c r="G629" s="119" t="s">
        <v>752</v>
      </c>
      <c r="H629" s="119" t="s">
        <v>752</v>
      </c>
      <c r="I629" s="163" t="s">
        <v>202</v>
      </c>
      <c r="J629" s="119" t="s">
        <v>572</v>
      </c>
      <c r="K629" s="119" t="s">
        <v>573</v>
      </c>
      <c r="L629" s="119" t="s">
        <v>751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2"/>
        <v>0</v>
      </c>
      <c r="U629" s="137">
        <f t="shared" si="116"/>
        <v>830000</v>
      </c>
      <c r="V629" s="137">
        <v>870000</v>
      </c>
      <c r="W629" s="137">
        <f t="shared" si="117"/>
        <v>-40000</v>
      </c>
      <c r="X629" s="137">
        <f t="shared" si="113"/>
        <v>-40000</v>
      </c>
      <c r="Y629" s="137">
        <f t="shared" si="118"/>
        <v>0</v>
      </c>
      <c r="Z629" s="137">
        <v>1033153.39</v>
      </c>
      <c r="AA629" s="137">
        <f t="shared" si="114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5"/>
        <v>182061.20000000007</v>
      </c>
      <c r="AD629" s="137">
        <f t="shared" si="121"/>
        <v>1012776.8684093198</v>
      </c>
      <c r="AE629" s="138">
        <v>0.1077</v>
      </c>
      <c r="AF629" s="137">
        <f t="shared" si="123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hidden="1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751</v>
      </c>
      <c r="G630" s="119" t="s">
        <v>752</v>
      </c>
      <c r="H630" s="119" t="s">
        <v>752</v>
      </c>
      <c r="I630" s="163" t="s">
        <v>202</v>
      </c>
      <c r="J630" s="119" t="s">
        <v>572</v>
      </c>
      <c r="K630" s="119" t="s">
        <v>573</v>
      </c>
      <c r="L630" s="119" t="s">
        <v>751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2"/>
        <v>3600</v>
      </c>
      <c r="U630" s="137">
        <f t="shared" si="116"/>
        <v>43600</v>
      </c>
      <c r="V630" s="137">
        <v>0</v>
      </c>
      <c r="W630" s="137">
        <f t="shared" si="117"/>
        <v>43600</v>
      </c>
      <c r="X630" s="137">
        <f t="shared" si="113"/>
        <v>40000</v>
      </c>
      <c r="Y630" s="137">
        <f t="shared" si="118"/>
        <v>3600</v>
      </c>
      <c r="Z630" s="137">
        <v>150540.06</v>
      </c>
      <c r="AA630" s="137">
        <f t="shared" si="114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5"/>
        <v>150470.4728440367</v>
      </c>
      <c r="AD630" s="137">
        <f t="shared" si="121"/>
        <v>147571.01124834048</v>
      </c>
      <c r="AE630" s="138">
        <v>0.31559999999999999</v>
      </c>
      <c r="AF630" s="137">
        <f t="shared" si="123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hidden="1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119" t="s">
        <v>751</v>
      </c>
      <c r="G631" s="119" t="s">
        <v>752</v>
      </c>
      <c r="H631" s="119" t="s">
        <v>752</v>
      </c>
      <c r="I631" s="163" t="s">
        <v>202</v>
      </c>
      <c r="J631" s="119" t="s">
        <v>572</v>
      </c>
      <c r="K631" s="119" t="s">
        <v>573</v>
      </c>
      <c r="L631" s="119" t="s">
        <v>751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2"/>
        <v>0</v>
      </c>
      <c r="U631" s="137">
        <f t="shared" si="116"/>
        <v>118250</v>
      </c>
      <c r="V631" s="137">
        <v>95669.36</v>
      </c>
      <c r="W631" s="137">
        <f t="shared" si="117"/>
        <v>22580.639999999999</v>
      </c>
      <c r="X631" s="137">
        <f t="shared" si="113"/>
        <v>22580.639999999999</v>
      </c>
      <c r="Y631" s="137">
        <f t="shared" si="118"/>
        <v>0</v>
      </c>
      <c r="Z631" s="137">
        <v>95669.36</v>
      </c>
      <c r="AA631" s="137">
        <f t="shared" si="114"/>
        <v>0</v>
      </c>
      <c r="AB631" s="146">
        <f>IF(O631="返货",Z631/(1+N631),IF(O631="返现",Z631,IF(O631="折扣",Z631*N631,IF(O631="无",Z631))))</f>
        <v>95669.36</v>
      </c>
      <c r="AC631" s="147">
        <f t="shared" si="115"/>
        <v>0</v>
      </c>
      <c r="AD631" s="137">
        <f t="shared" si="121"/>
        <v>93782.506800392759</v>
      </c>
      <c r="AE631" s="138">
        <v>0.1077</v>
      </c>
      <c r="AF631" s="137">
        <f t="shared" si="123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119" t="s">
        <v>751</v>
      </c>
      <c r="G632" s="119" t="s">
        <v>752</v>
      </c>
      <c r="H632" s="119" t="s">
        <v>752</v>
      </c>
      <c r="I632" s="163" t="s">
        <v>202</v>
      </c>
      <c r="J632" s="119" t="s">
        <v>572</v>
      </c>
      <c r="K632" s="119" t="s">
        <v>573</v>
      </c>
      <c r="L632" s="119" t="s">
        <v>751</v>
      </c>
      <c r="M632" s="119" t="s">
        <v>592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2"/>
        <v>0</v>
      </c>
      <c r="U632" s="137">
        <f t="shared" si="116"/>
        <v>621500</v>
      </c>
      <c r="V632" s="137">
        <v>105000</v>
      </c>
      <c r="W632" s="137">
        <f t="shared" si="117"/>
        <v>516500</v>
      </c>
      <c r="X632" s="137">
        <f t="shared" si="113"/>
        <v>516500</v>
      </c>
      <c r="Y632" s="137">
        <f t="shared" si="118"/>
        <v>0</v>
      </c>
      <c r="Z632" s="137">
        <v>105000</v>
      </c>
      <c r="AA632" s="137">
        <f t="shared" si="114"/>
        <v>0</v>
      </c>
      <c r="AB632" s="146">
        <f>IF(O632="返货",Z632/(1+N632),IF(O632="返现",Z632,IF(O632="折扣",Z632*N632,IF(O632="无",Z632))))</f>
        <v>105000</v>
      </c>
      <c r="AC632" s="147">
        <f t="shared" si="115"/>
        <v>0</v>
      </c>
      <c r="AD632" s="137">
        <f t="shared" si="121"/>
        <v>102929.12186348105</v>
      </c>
      <c r="AE632" s="138">
        <v>0.35339999999999999</v>
      </c>
      <c r="AF632" s="137">
        <f t="shared" si="123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hidden="1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753</v>
      </c>
      <c r="G633" s="119" t="s">
        <v>754</v>
      </c>
      <c r="H633" s="119" t="s">
        <v>754</v>
      </c>
      <c r="I633" s="163" t="s">
        <v>202</v>
      </c>
      <c r="J633" s="119" t="s">
        <v>572</v>
      </c>
      <c r="K633" s="119" t="s">
        <v>573</v>
      </c>
      <c r="L633" s="119" t="s">
        <v>755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2"/>
        <v>2000</v>
      </c>
      <c r="U633" s="137">
        <f t="shared" si="116"/>
        <v>102000</v>
      </c>
      <c r="V633" s="137">
        <v>102000</v>
      </c>
      <c r="W633" s="137">
        <f t="shared" si="117"/>
        <v>0</v>
      </c>
      <c r="X633" s="137">
        <f t="shared" si="113"/>
        <v>0</v>
      </c>
      <c r="Y633" s="137">
        <f t="shared" si="118"/>
        <v>0</v>
      </c>
      <c r="Z633" s="137">
        <v>380071.37</v>
      </c>
      <c r="AA633" s="137">
        <f t="shared" si="114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5"/>
        <v>280071.37</v>
      </c>
      <c r="AD633" s="137">
        <f t="shared" si="121"/>
        <v>372575.35580523999</v>
      </c>
      <c r="AE633" s="138">
        <v>0.1077</v>
      </c>
      <c r="AF633" s="137">
        <f t="shared" si="123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hidden="1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756</v>
      </c>
      <c r="H634" s="119" t="s">
        <v>756</v>
      </c>
      <c r="I634" s="163" t="s">
        <v>202</v>
      </c>
      <c r="J634" s="119" t="s">
        <v>572</v>
      </c>
      <c r="K634" s="119" t="s">
        <v>573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2"/>
        <v>31435.156600000002</v>
      </c>
      <c r="U634" s="137">
        <f t="shared" si="116"/>
        <v>1603192.9866000002</v>
      </c>
      <c r="V634" s="137">
        <v>1931086.99</v>
      </c>
      <c r="W634" s="137">
        <f t="shared" si="117"/>
        <v>-327894.00339999981</v>
      </c>
      <c r="X634" s="137">
        <f t="shared" si="113"/>
        <v>-321464.70921568607</v>
      </c>
      <c r="Y634" s="137">
        <f t="shared" si="118"/>
        <v>-6429.2941843137378</v>
      </c>
      <c r="Z634" s="137">
        <v>1144259.27</v>
      </c>
      <c r="AA634" s="137">
        <f t="shared" si="114"/>
        <v>933090.95</v>
      </c>
      <c r="AB634" s="146">
        <f>(Z634-Q634)/(1+N634)</f>
        <v>978427.49019607843</v>
      </c>
      <c r="AC634" s="147">
        <f t="shared" si="115"/>
        <v>165831.77980392158</v>
      </c>
      <c r="AD634" s="137">
        <f t="shared" si="121"/>
        <v>1121691.4461452179</v>
      </c>
      <c r="AE634" s="138">
        <v>0.1077</v>
      </c>
      <c r="AF634" s="137">
        <f t="shared" si="123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hidden="1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119" t="s">
        <v>238</v>
      </c>
      <c r="G635" s="119" t="s">
        <v>756</v>
      </c>
      <c r="H635" s="119" t="s">
        <v>756</v>
      </c>
      <c r="I635" s="163" t="s">
        <v>202</v>
      </c>
      <c r="J635" s="119" t="s">
        <v>572</v>
      </c>
      <c r="K635" s="119" t="s">
        <v>573</v>
      </c>
      <c r="L635" s="119" t="s">
        <v>238</v>
      </c>
      <c r="M635" s="119" t="s">
        <v>592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2"/>
        <v>0</v>
      </c>
      <c r="U635" s="137">
        <f t="shared" si="116"/>
        <v>84000</v>
      </c>
      <c r="V635" s="137">
        <v>399000</v>
      </c>
      <c r="W635" s="137">
        <f t="shared" si="117"/>
        <v>-315000</v>
      </c>
      <c r="X635" s="137">
        <f t="shared" si="113"/>
        <v>-315000</v>
      </c>
      <c r="Y635" s="137">
        <f t="shared" si="118"/>
        <v>0</v>
      </c>
      <c r="Z635" s="137">
        <v>399000</v>
      </c>
      <c r="AA635" s="137">
        <f t="shared" si="114"/>
        <v>0</v>
      </c>
      <c r="AB635" s="146">
        <f>IF(O635="返货",Z635/(1+N635),IF(O635="返现",Z635,IF(O635="折扣",Z635*N635,IF(O635="无",Z635))))</f>
        <v>399000</v>
      </c>
      <c r="AC635" s="147">
        <f t="shared" si="115"/>
        <v>0</v>
      </c>
      <c r="AD635" s="137">
        <f t="shared" si="121"/>
        <v>391130.66308122803</v>
      </c>
      <c r="AE635" s="138">
        <v>0.35339999999999999</v>
      </c>
      <c r="AF635" s="137">
        <f t="shared" si="123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119" t="s">
        <v>238</v>
      </c>
      <c r="G636" s="119" t="s">
        <v>756</v>
      </c>
      <c r="H636" s="119" t="s">
        <v>756</v>
      </c>
      <c r="I636" s="163" t="s">
        <v>202</v>
      </c>
      <c r="J636" s="119" t="s">
        <v>572</v>
      </c>
      <c r="K636" s="119" t="s">
        <v>573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2"/>
        <v>0</v>
      </c>
      <c r="U636" s="137">
        <f t="shared" si="116"/>
        <v>42000</v>
      </c>
      <c r="V636" s="137">
        <v>0</v>
      </c>
      <c r="W636" s="137">
        <f t="shared" si="117"/>
        <v>42000</v>
      </c>
      <c r="X636" s="137">
        <f t="shared" si="113"/>
        <v>42000</v>
      </c>
      <c r="Y636" s="137">
        <f t="shared" si="118"/>
        <v>0</v>
      </c>
      <c r="Z636" s="137">
        <v>0</v>
      </c>
      <c r="AA636" s="137">
        <f t="shared" si="114"/>
        <v>0</v>
      </c>
      <c r="AB636" s="146">
        <f>IF(O636="返货",Z636/(1+N636),IF(O636="返现",Z636,IF(O636="折扣",Z636*N636,IF(O636="无",Z636))))</f>
        <v>0</v>
      </c>
      <c r="AC636" s="147">
        <f t="shared" si="115"/>
        <v>0</v>
      </c>
      <c r="AD636" s="137">
        <f t="shared" si="121"/>
        <v>0</v>
      </c>
      <c r="AE636" s="138">
        <v>0.1077</v>
      </c>
      <c r="AF636" s="137">
        <f t="shared" si="123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757</v>
      </c>
      <c r="G637" s="119" t="s">
        <v>757</v>
      </c>
      <c r="H637" s="119" t="s">
        <v>757</v>
      </c>
      <c r="I637" s="163" t="s">
        <v>202</v>
      </c>
      <c r="J637" s="119" t="s">
        <v>572</v>
      </c>
      <c r="K637" s="119" t="s">
        <v>573</v>
      </c>
      <c r="L637" s="119" t="s">
        <v>757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2"/>
        <v>0</v>
      </c>
      <c r="U637" s="137">
        <f t="shared" si="116"/>
        <v>3029010.15</v>
      </c>
      <c r="V637" s="137">
        <v>5445000</v>
      </c>
      <c r="W637" s="137">
        <f t="shared" si="117"/>
        <v>-2415989.85</v>
      </c>
      <c r="X637" s="137">
        <f t="shared" si="113"/>
        <v>-2415989.85</v>
      </c>
      <c r="Y637" s="137">
        <f t="shared" si="118"/>
        <v>0</v>
      </c>
      <c r="Z637" s="137">
        <v>3029010.09</v>
      </c>
      <c r="AA637" s="137">
        <f t="shared" si="114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5"/>
        <v>0</v>
      </c>
      <c r="AD637" s="137">
        <f t="shared" si="121"/>
        <v>2969269.9874221305</v>
      </c>
      <c r="AE637" s="138">
        <v>0.1077</v>
      </c>
      <c r="AF637" s="137">
        <f t="shared" si="123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hidden="1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757</v>
      </c>
      <c r="G638" s="119" t="s">
        <v>757</v>
      </c>
      <c r="H638" s="119" t="s">
        <v>757</v>
      </c>
      <c r="I638" s="163" t="s">
        <v>202</v>
      </c>
      <c r="J638" s="119" t="s">
        <v>572</v>
      </c>
      <c r="K638" s="119" t="s">
        <v>573</v>
      </c>
      <c r="L638" s="119" t="s">
        <v>757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2"/>
        <v>0</v>
      </c>
      <c r="U638" s="137">
        <f t="shared" si="116"/>
        <v>2799261.74</v>
      </c>
      <c r="V638" s="137">
        <v>0</v>
      </c>
      <c r="W638" s="137">
        <f t="shared" si="117"/>
        <v>2799261.74</v>
      </c>
      <c r="X638" s="137">
        <f t="shared" si="113"/>
        <v>2799261.74</v>
      </c>
      <c r="Y638" s="137">
        <f t="shared" si="118"/>
        <v>0</v>
      </c>
      <c r="Z638" s="137">
        <v>2351261.75</v>
      </c>
      <c r="AA638" s="137">
        <f t="shared" si="114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5"/>
        <v>0</v>
      </c>
      <c r="AD638" s="137">
        <f t="shared" si="121"/>
        <v>2304888.6399875404</v>
      </c>
      <c r="AE638" s="138">
        <v>0.31559999999999999</v>
      </c>
      <c r="AF638" s="137">
        <f t="shared" si="123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hidden="1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119" t="s">
        <v>757</v>
      </c>
      <c r="G639" s="119" t="s">
        <v>757</v>
      </c>
      <c r="H639" s="119" t="s">
        <v>757</v>
      </c>
      <c r="I639" s="163" t="s">
        <v>202</v>
      </c>
      <c r="J639" s="119" t="s">
        <v>572</v>
      </c>
      <c r="K639" s="119" t="s">
        <v>573</v>
      </c>
      <c r="L639" s="119" t="s">
        <v>757</v>
      </c>
      <c r="M639" s="119" t="s">
        <v>158</v>
      </c>
      <c r="N639" s="135">
        <v>0</v>
      </c>
      <c r="O639" s="135" t="s">
        <v>46</v>
      </c>
      <c r="P639" s="135" t="s">
        <v>758</v>
      </c>
      <c r="Q639" s="137">
        <v>0</v>
      </c>
      <c r="R639" s="137">
        <v>0</v>
      </c>
      <c r="S639" s="137">
        <v>300000</v>
      </c>
      <c r="T639" s="137">
        <f t="shared" si="112"/>
        <v>0</v>
      </c>
      <c r="U639" s="137">
        <f t="shared" si="116"/>
        <v>300000</v>
      </c>
      <c r="V639" s="137">
        <v>0</v>
      </c>
      <c r="W639" s="137">
        <f t="shared" si="117"/>
        <v>300000</v>
      </c>
      <c r="X639" s="137">
        <f t="shared" si="113"/>
        <v>300000</v>
      </c>
      <c r="Y639" s="137">
        <f t="shared" si="118"/>
        <v>0</v>
      </c>
      <c r="Z639" s="137">
        <v>0</v>
      </c>
      <c r="AA639" s="137">
        <f t="shared" si="114"/>
        <v>0</v>
      </c>
      <c r="AB639" s="146">
        <f>IF(O639="返货",Z639/(1+N639),IF(O639="返现",Z639,IF(O639="折扣",Z639*N639,IF(O639="无",Z639))))</f>
        <v>0</v>
      </c>
      <c r="AC639" s="147">
        <f t="shared" si="115"/>
        <v>0</v>
      </c>
      <c r="AD639" s="137">
        <f t="shared" si="121"/>
        <v>0</v>
      </c>
      <c r="AE639" s="138">
        <v>0.1077</v>
      </c>
      <c r="AF639" s="137">
        <f t="shared" si="123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hidden="1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759</v>
      </c>
      <c r="G640" s="119" t="s">
        <v>759</v>
      </c>
      <c r="H640" s="119" t="s">
        <v>759</v>
      </c>
      <c r="I640" s="163" t="s">
        <v>202</v>
      </c>
      <c r="J640" s="119" t="s">
        <v>572</v>
      </c>
      <c r="K640" s="119" t="s">
        <v>573</v>
      </c>
      <c r="L640" s="119" t="s">
        <v>759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2"/>
        <v>104990.7608</v>
      </c>
      <c r="U640" s="137">
        <f t="shared" si="116"/>
        <v>5354528.8008000003</v>
      </c>
      <c r="V640" s="137">
        <v>7234195.1399999997</v>
      </c>
      <c r="W640" s="137">
        <f t="shared" si="117"/>
        <v>-1879666.3391999993</v>
      </c>
      <c r="X640" s="137">
        <f t="shared" si="113"/>
        <v>-1842810.1364705875</v>
      </c>
      <c r="Y640" s="137">
        <f t="shared" si="118"/>
        <v>-36856.202729411889</v>
      </c>
      <c r="Z640" s="137">
        <v>5770804.2599999998</v>
      </c>
      <c r="AA640" s="137">
        <f t="shared" si="114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5"/>
        <v>521269.14941176493</v>
      </c>
      <c r="AD640" s="137">
        <f t="shared" si="121"/>
        <v>5656988.7135984339</v>
      </c>
      <c r="AE640" s="138">
        <v>0.1077</v>
      </c>
      <c r="AF640" s="137">
        <f t="shared" si="123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608</v>
      </c>
      <c r="AM640" s="131"/>
    </row>
    <row r="641" spans="1:39" s="119" customFormat="1" ht="15" hidden="1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759</v>
      </c>
      <c r="G641" s="119" t="s">
        <v>759</v>
      </c>
      <c r="H641" s="119" t="s">
        <v>759</v>
      </c>
      <c r="I641" s="163" t="s">
        <v>202</v>
      </c>
      <c r="J641" s="119" t="s">
        <v>572</v>
      </c>
      <c r="K641" s="119" t="s">
        <v>573</v>
      </c>
      <c r="L641" s="119" t="s">
        <v>759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2"/>
        <v>82447.700800000006</v>
      </c>
      <c r="U641" s="137">
        <f t="shared" si="116"/>
        <v>1113043.9608</v>
      </c>
      <c r="V641" s="137">
        <v>0</v>
      </c>
      <c r="W641" s="137">
        <f t="shared" si="117"/>
        <v>1113043.9608</v>
      </c>
      <c r="X641" s="137">
        <f t="shared" si="113"/>
        <v>1030596.2599999999</v>
      </c>
      <c r="Y641" s="137">
        <f t="shared" si="118"/>
        <v>82447.700800000108</v>
      </c>
      <c r="Z641" s="137">
        <v>1061850.6399999999</v>
      </c>
      <c r="AA641" s="137">
        <f t="shared" si="114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5"/>
        <v>88509.734074074193</v>
      </c>
      <c r="AD641" s="137">
        <f t="shared" si="121"/>
        <v>1040908.1326226223</v>
      </c>
      <c r="AE641" s="138">
        <v>0.31559999999999999</v>
      </c>
      <c r="AF641" s="137">
        <f t="shared" si="123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hidden="1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119" t="s">
        <v>759</v>
      </c>
      <c r="G642" s="119" t="s">
        <v>759</v>
      </c>
      <c r="H642" s="119" t="s">
        <v>759</v>
      </c>
      <c r="I642" s="163" t="s">
        <v>202</v>
      </c>
      <c r="J642" s="119" t="s">
        <v>572</v>
      </c>
      <c r="K642" s="119" t="s">
        <v>573</v>
      </c>
      <c r="L642" s="119" t="s">
        <v>759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4">S642*N642</f>
        <v>0</v>
      </c>
      <c r="U642" s="137">
        <f t="shared" si="116"/>
        <v>1035000</v>
      </c>
      <c r="V642" s="137">
        <v>799193.55</v>
      </c>
      <c r="W642" s="137">
        <f t="shared" si="117"/>
        <v>235806.44999999995</v>
      </c>
      <c r="X642" s="137">
        <f t="shared" ref="X642:X705" si="125">W642/(1+N642)</f>
        <v>235806.44999999995</v>
      </c>
      <c r="Y642" s="137">
        <f t="shared" si="118"/>
        <v>0</v>
      </c>
      <c r="Z642" s="137">
        <v>799193.55</v>
      </c>
      <c r="AA642" s="137">
        <f t="shared" ref="AA642:AA705" si="126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7">IF(O642="返现",Z642*N642,Z642-AB642)</f>
        <v>0</v>
      </c>
      <c r="AD642" s="137">
        <f t="shared" si="121"/>
        <v>783431.33619483851</v>
      </c>
      <c r="AE642" s="138">
        <v>0.1077</v>
      </c>
      <c r="AF642" s="137">
        <f t="shared" si="123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760</v>
      </c>
      <c r="G643" s="119" t="s">
        <v>760</v>
      </c>
      <c r="H643" s="119" t="s">
        <v>760</v>
      </c>
      <c r="I643" s="163" t="s">
        <v>202</v>
      </c>
      <c r="J643" s="119" t="s">
        <v>572</v>
      </c>
      <c r="K643" s="119" t="s">
        <v>573</v>
      </c>
      <c r="L643" s="119" t="s">
        <v>760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4"/>
        <v>30297.0612</v>
      </c>
      <c r="U643" s="137">
        <f t="shared" ref="U643:U706" si="128">R643+S643+T643</f>
        <v>1545150.1212000002</v>
      </c>
      <c r="V643" s="137">
        <v>3050000</v>
      </c>
      <c r="W643" s="137">
        <f t="shared" ref="W643:W706" si="129">U643-V643</f>
        <v>-1504849.8787999998</v>
      </c>
      <c r="X643" s="137">
        <f t="shared" si="125"/>
        <v>-1475343.0184313722</v>
      </c>
      <c r="Y643" s="137">
        <f t="shared" ref="Y643:Y706" si="130">W643-X643</f>
        <v>-29506.860368627589</v>
      </c>
      <c r="Z643" s="137">
        <v>1545150.13</v>
      </c>
      <c r="AA643" s="137">
        <f t="shared" si="126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7"/>
        <v>30297.06137254904</v>
      </c>
      <c r="AD643" s="137">
        <f t="shared" si="121"/>
        <v>1514675.6764585103</v>
      </c>
      <c r="AE643" s="138">
        <v>0.1077</v>
      </c>
      <c r="AF643" s="137">
        <f t="shared" si="123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hidden="1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760</v>
      </c>
      <c r="G644" s="119" t="s">
        <v>760</v>
      </c>
      <c r="H644" s="119" t="s">
        <v>760</v>
      </c>
      <c r="I644" s="163" t="s">
        <v>202</v>
      </c>
      <c r="J644" s="119" t="s">
        <v>572</v>
      </c>
      <c r="K644" s="119" t="s">
        <v>573</v>
      </c>
      <c r="L644" s="119" t="s">
        <v>760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4"/>
        <v>90499.14</v>
      </c>
      <c r="U644" s="137">
        <f t="shared" si="128"/>
        <v>1221738.3899999999</v>
      </c>
      <c r="V644" s="137">
        <v>0</v>
      </c>
      <c r="W644" s="137">
        <f t="shared" si="129"/>
        <v>1221738.3899999999</v>
      </c>
      <c r="X644" s="137">
        <f t="shared" si="125"/>
        <v>1131239.2499999998</v>
      </c>
      <c r="Y644" s="137">
        <f t="shared" si="130"/>
        <v>90499.14000000013</v>
      </c>
      <c r="Z644" s="137">
        <v>1153864.04</v>
      </c>
      <c r="AA644" s="137">
        <f t="shared" si="126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7"/>
        <v>85471.410370370373</v>
      </c>
      <c r="AD644" s="137">
        <f t="shared" si="121"/>
        <v>1131106.784638558</v>
      </c>
      <c r="AE644" s="138">
        <v>0.31559999999999999</v>
      </c>
      <c r="AF644" s="137">
        <f t="shared" si="123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hidden="1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572</v>
      </c>
      <c r="K645" s="119" t="s">
        <v>573</v>
      </c>
      <c r="L645" s="119" t="s">
        <v>761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4"/>
        <v>7069.8192000000008</v>
      </c>
      <c r="U645" s="137">
        <f t="shared" si="128"/>
        <v>360560.77920000005</v>
      </c>
      <c r="V645" s="137">
        <v>1041475.36</v>
      </c>
      <c r="W645" s="137">
        <f t="shared" si="129"/>
        <v>-680914.58079999988</v>
      </c>
      <c r="X645" s="137">
        <f t="shared" si="125"/>
        <v>-667563.31450980378</v>
      </c>
      <c r="Y645" s="137">
        <f t="shared" si="130"/>
        <v>-13351.266290196101</v>
      </c>
      <c r="Z645" s="137">
        <v>553220.64</v>
      </c>
      <c r="AA645" s="137">
        <f t="shared" si="126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7"/>
        <v>206732.8949019608</v>
      </c>
      <c r="AD645" s="137">
        <f t="shared" si="121"/>
        <v>542309.66354240943</v>
      </c>
      <c r="AE645" s="138">
        <v>0.1077</v>
      </c>
      <c r="AF645" s="137">
        <f t="shared" si="123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hidden="1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572</v>
      </c>
      <c r="K646" s="119" t="s">
        <v>573</v>
      </c>
      <c r="L646" s="119" t="s">
        <v>761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4"/>
        <v>35720.7232</v>
      </c>
      <c r="U646" s="137">
        <f t="shared" si="128"/>
        <v>482229.76319999999</v>
      </c>
      <c r="V646" s="137">
        <v>0</v>
      </c>
      <c r="W646" s="137">
        <f t="shared" si="129"/>
        <v>482229.76319999999</v>
      </c>
      <c r="X646" s="137">
        <f t="shared" si="125"/>
        <v>446509.04</v>
      </c>
      <c r="Y646" s="137">
        <f t="shared" si="130"/>
        <v>35720.723200000008</v>
      </c>
      <c r="Z646" s="137">
        <v>1080980.8899999999</v>
      </c>
      <c r="AA646" s="137">
        <f t="shared" si="126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7"/>
        <v>443890.27888888901</v>
      </c>
      <c r="AD646" s="137">
        <f t="shared" si="121"/>
        <v>1059661.0834181353</v>
      </c>
      <c r="AE646" s="138">
        <v>0.31559999999999999</v>
      </c>
      <c r="AF646" s="137">
        <f t="shared" si="123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hidden="1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762</v>
      </c>
      <c r="G647" s="119" t="s">
        <v>762</v>
      </c>
      <c r="H647" s="119" t="s">
        <v>762</v>
      </c>
      <c r="I647" s="163" t="s">
        <v>202</v>
      </c>
      <c r="J647" s="119" t="s">
        <v>572</v>
      </c>
      <c r="K647" s="119" t="s">
        <v>573</v>
      </c>
      <c r="L647" s="119" t="s">
        <v>762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4"/>
        <v>400</v>
      </c>
      <c r="U647" s="137">
        <f t="shared" si="128"/>
        <v>20400</v>
      </c>
      <c r="V647" s="137">
        <v>20000</v>
      </c>
      <c r="W647" s="137">
        <f t="shared" si="129"/>
        <v>400</v>
      </c>
      <c r="X647" s="137">
        <f t="shared" si="125"/>
        <v>392.15686274509801</v>
      </c>
      <c r="Y647" s="137">
        <f t="shared" si="130"/>
        <v>7.8431372549019898</v>
      </c>
      <c r="Z647" s="137">
        <v>20000</v>
      </c>
      <c r="AA647" s="137">
        <f t="shared" si="126"/>
        <v>0</v>
      </c>
      <c r="AB647" s="146">
        <f>IF(O647="返货",Z647/(1+N647),IF(O647="返现",Z647,IF(O647="折扣",Z647*N647,IF(O647="无",Z647))))</f>
        <v>19607.843137254902</v>
      </c>
      <c r="AC647" s="147">
        <f t="shared" si="127"/>
        <v>392.1568627450979</v>
      </c>
      <c r="AD647" s="137">
        <f t="shared" ref="AD647:AD660" si="131">Z647*0.980277351080772</f>
        <v>19605.547021615439</v>
      </c>
      <c r="AE647" s="138">
        <v>0.1077</v>
      </c>
      <c r="AF647" s="137">
        <f t="shared" si="123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763</v>
      </c>
      <c r="G648" s="119" t="s">
        <v>763</v>
      </c>
      <c r="H648" s="119" t="s">
        <v>763</v>
      </c>
      <c r="I648" s="163" t="s">
        <v>202</v>
      </c>
      <c r="J648" s="119" t="s">
        <v>572</v>
      </c>
      <c r="K648" s="119" t="s">
        <v>573</v>
      </c>
      <c r="L648" s="119" t="s">
        <v>763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4"/>
        <v>0</v>
      </c>
      <c r="U648" s="137">
        <f t="shared" si="128"/>
        <v>2258148.27</v>
      </c>
      <c r="V648" s="137">
        <v>14062008.390000001</v>
      </c>
      <c r="W648" s="137">
        <f t="shared" si="129"/>
        <v>-11803860.120000001</v>
      </c>
      <c r="X648" s="137">
        <f t="shared" si="125"/>
        <v>-11803860.120000001</v>
      </c>
      <c r="Y648" s="137">
        <f t="shared" si="130"/>
        <v>0</v>
      </c>
      <c r="Z648" s="137">
        <v>2190124.0699999998</v>
      </c>
      <c r="AA648" s="137">
        <f t="shared" si="126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7"/>
        <v>26294.089999999851</v>
      </c>
      <c r="AD648" s="137">
        <f t="shared" si="131"/>
        <v>2146929.0218778392</v>
      </c>
      <c r="AE648" s="138">
        <v>0.1077</v>
      </c>
      <c r="AF648" s="137">
        <f t="shared" si="123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hidden="1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763</v>
      </c>
      <c r="G649" s="119" t="s">
        <v>763</v>
      </c>
      <c r="H649" s="119" t="s">
        <v>763</v>
      </c>
      <c r="I649" s="163" t="s">
        <v>202</v>
      </c>
      <c r="J649" s="119" t="s">
        <v>572</v>
      </c>
      <c r="K649" s="119" t="s">
        <v>573</v>
      </c>
      <c r="L649" s="119" t="s">
        <v>763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4"/>
        <v>420843.72960000002</v>
      </c>
      <c r="U649" s="137">
        <f t="shared" si="128"/>
        <v>10941936.969599999</v>
      </c>
      <c r="V649" s="137">
        <v>0</v>
      </c>
      <c r="W649" s="137">
        <f t="shared" si="129"/>
        <v>10941936.969599999</v>
      </c>
      <c r="X649" s="137">
        <f t="shared" si="125"/>
        <v>10521093.239999998</v>
      </c>
      <c r="Y649" s="137">
        <f t="shared" si="130"/>
        <v>420843.72960000113</v>
      </c>
      <c r="Z649" s="137">
        <v>10995333.52</v>
      </c>
      <c r="AA649" s="137">
        <f t="shared" si="126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7"/>
        <v>474176.06807692349</v>
      </c>
      <c r="AD649" s="137">
        <f t="shared" si="131"/>
        <v>10778476.41723522</v>
      </c>
      <c r="AE649" s="138">
        <v>0.31559999999999999</v>
      </c>
      <c r="AF649" s="137">
        <f t="shared" si="123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hidden="1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119" t="s">
        <v>763</v>
      </c>
      <c r="G650" s="119" t="s">
        <v>763</v>
      </c>
      <c r="H650" s="119" t="s">
        <v>763</v>
      </c>
      <c r="I650" s="163" t="s">
        <v>202</v>
      </c>
      <c r="J650" s="119" t="s">
        <v>572</v>
      </c>
      <c r="K650" s="119" t="s">
        <v>573</v>
      </c>
      <c r="L650" s="119" t="s">
        <v>763</v>
      </c>
      <c r="M650" s="119" t="s">
        <v>592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4"/>
        <v>0</v>
      </c>
      <c r="U650" s="137">
        <f t="shared" si="128"/>
        <v>6785372</v>
      </c>
      <c r="V650" s="137">
        <v>7777342</v>
      </c>
      <c r="W650" s="137">
        <f t="shared" si="129"/>
        <v>-991970</v>
      </c>
      <c r="X650" s="137">
        <f t="shared" si="125"/>
        <v>-991970</v>
      </c>
      <c r="Y650" s="137">
        <f t="shared" si="130"/>
        <v>0</v>
      </c>
      <c r="Z650" s="137">
        <v>7777342</v>
      </c>
      <c r="AA650" s="137">
        <f t="shared" si="126"/>
        <v>0</v>
      </c>
      <c r="AB650" s="146">
        <f t="shared" ref="AB650:AB655" si="132">IF(O650="返货",Z650/(1+N650),IF(O650="返现",Z650,IF(O650="折扣",Z650*N650,IF(O650="无",Z650))))</f>
        <v>7777342</v>
      </c>
      <c r="AC650" s="147">
        <f t="shared" si="127"/>
        <v>0</v>
      </c>
      <c r="AD650" s="137">
        <f t="shared" si="131"/>
        <v>7623952.2142092334</v>
      </c>
      <c r="AE650" s="138">
        <v>0.35339999999999999</v>
      </c>
      <c r="AF650" s="137">
        <f t="shared" si="123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119" t="s">
        <v>763</v>
      </c>
      <c r="G651" s="119" t="s">
        <v>763</v>
      </c>
      <c r="H651" s="119" t="s">
        <v>763</v>
      </c>
      <c r="I651" s="163" t="s">
        <v>202</v>
      </c>
      <c r="J651" s="119" t="s">
        <v>572</v>
      </c>
      <c r="K651" s="119" t="s">
        <v>573</v>
      </c>
      <c r="L651" s="119" t="s">
        <v>763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4"/>
        <v>0</v>
      </c>
      <c r="U651" s="137">
        <f t="shared" si="128"/>
        <v>1552500</v>
      </c>
      <c r="V651" s="137">
        <v>687500</v>
      </c>
      <c r="W651" s="137">
        <f t="shared" si="129"/>
        <v>865000</v>
      </c>
      <c r="X651" s="137">
        <f t="shared" si="125"/>
        <v>865000</v>
      </c>
      <c r="Y651" s="137">
        <f t="shared" si="130"/>
        <v>0</v>
      </c>
      <c r="Z651" s="137">
        <v>687500</v>
      </c>
      <c r="AA651" s="137">
        <f t="shared" si="126"/>
        <v>0</v>
      </c>
      <c r="AB651" s="146">
        <f t="shared" si="132"/>
        <v>687500</v>
      </c>
      <c r="AC651" s="147">
        <f t="shared" si="127"/>
        <v>0</v>
      </c>
      <c r="AD651" s="137">
        <f t="shared" si="131"/>
        <v>673940.67886803078</v>
      </c>
      <c r="AE651" s="138">
        <v>0.1077</v>
      </c>
      <c r="AF651" s="137">
        <f t="shared" si="123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hidden="1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764</v>
      </c>
      <c r="G652" s="119" t="s">
        <v>764</v>
      </c>
      <c r="H652" s="119" t="s">
        <v>764</v>
      </c>
      <c r="I652" s="163" t="s">
        <v>202</v>
      </c>
      <c r="J652" s="119" t="s">
        <v>572</v>
      </c>
      <c r="K652" s="119" t="s">
        <v>573</v>
      </c>
      <c r="L652" s="119" t="s">
        <v>765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4"/>
        <v>61.375200000000007</v>
      </c>
      <c r="U652" s="137">
        <f t="shared" si="128"/>
        <v>3130.1352000000002</v>
      </c>
      <c r="V652" s="137">
        <v>2675000</v>
      </c>
      <c r="W652" s="137">
        <f t="shared" si="129"/>
        <v>-2671869.8648000001</v>
      </c>
      <c r="X652" s="137">
        <f t="shared" si="125"/>
        <v>-2619480.2596078431</v>
      </c>
      <c r="Y652" s="137">
        <f t="shared" si="130"/>
        <v>-52389.605192156974</v>
      </c>
      <c r="Z652" s="137">
        <v>62830.25</v>
      </c>
      <c r="AA652" s="137">
        <f t="shared" si="126"/>
        <v>2612169.75</v>
      </c>
      <c r="AB652" s="146">
        <f t="shared" si="132"/>
        <v>61598.284313725489</v>
      </c>
      <c r="AC652" s="147">
        <f t="shared" si="127"/>
        <v>1231.9656862745105</v>
      </c>
      <c r="AD652" s="137">
        <f t="shared" si="131"/>
        <v>61591.071037742673</v>
      </c>
      <c r="AE652" s="138">
        <v>0.1077</v>
      </c>
      <c r="AF652" s="137">
        <f t="shared" si="123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hidden="1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764</v>
      </c>
      <c r="G653" s="119" t="s">
        <v>764</v>
      </c>
      <c r="H653" s="119" t="s">
        <v>764</v>
      </c>
      <c r="I653" s="163" t="s">
        <v>202</v>
      </c>
      <c r="J653" s="119" t="s">
        <v>572</v>
      </c>
      <c r="K653" s="119" t="s">
        <v>573</v>
      </c>
      <c r="L653" s="119" t="s">
        <v>765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4"/>
        <v>199452.39440000002</v>
      </c>
      <c r="U653" s="137">
        <f t="shared" si="128"/>
        <v>2692607.3244000003</v>
      </c>
      <c r="V653" s="137">
        <v>0</v>
      </c>
      <c r="W653" s="137">
        <f t="shared" si="129"/>
        <v>2692607.3244000003</v>
      </c>
      <c r="X653" s="137">
        <f t="shared" si="125"/>
        <v>2493154.9300000002</v>
      </c>
      <c r="Y653" s="137">
        <f t="shared" si="130"/>
        <v>199452.39440000011</v>
      </c>
      <c r="Z653" s="137">
        <v>2612169.75</v>
      </c>
      <c r="AA653" s="137">
        <f t="shared" si="126"/>
        <v>-2612169.75</v>
      </c>
      <c r="AB653" s="146">
        <f t="shared" si="132"/>
        <v>2418675.6944444445</v>
      </c>
      <c r="AC653" s="147">
        <f t="shared" si="127"/>
        <v>193494.0555555555</v>
      </c>
      <c r="AD653" s="137">
        <f t="shared" si="131"/>
        <v>2560650.8431033222</v>
      </c>
      <c r="AE653" s="138">
        <v>0.31559999999999999</v>
      </c>
      <c r="AF653" s="137">
        <f t="shared" si="123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hidden="1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766</v>
      </c>
      <c r="G654" s="119" t="s">
        <v>766</v>
      </c>
      <c r="H654" s="119" t="s">
        <v>766</v>
      </c>
      <c r="I654" s="163" t="s">
        <v>202</v>
      </c>
      <c r="J654" s="119" t="s">
        <v>572</v>
      </c>
      <c r="K654" s="119" t="s">
        <v>573</v>
      </c>
      <c r="L654" s="119" t="s">
        <v>766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4"/>
        <v>248.51999999999998</v>
      </c>
      <c r="U654" s="137">
        <f t="shared" si="128"/>
        <v>1905.32</v>
      </c>
      <c r="V654" s="137">
        <v>0</v>
      </c>
      <c r="W654" s="137">
        <f t="shared" si="129"/>
        <v>1905.32</v>
      </c>
      <c r="X654" s="137">
        <f t="shared" si="125"/>
        <v>1656.8000000000002</v>
      </c>
      <c r="Y654" s="137">
        <f t="shared" si="130"/>
        <v>248.51999999999975</v>
      </c>
      <c r="Z654" s="137">
        <v>1656.8</v>
      </c>
      <c r="AA654" s="137">
        <f t="shared" si="126"/>
        <v>-1656.8</v>
      </c>
      <c r="AB654" s="146">
        <f t="shared" si="132"/>
        <v>1440.695652173913</v>
      </c>
      <c r="AC654" s="147">
        <f t="shared" si="127"/>
        <v>216.10434782608695</v>
      </c>
      <c r="AD654" s="137">
        <f t="shared" si="131"/>
        <v>1624.1235152706229</v>
      </c>
      <c r="AE654" s="138">
        <v>0.31559999999999999</v>
      </c>
      <c r="AF654" s="137">
        <f t="shared" si="123"/>
        <v>512.57338141940852</v>
      </c>
      <c r="AG654" s="137">
        <v>306.78173217391299</v>
      </c>
      <c r="AH654" s="154"/>
      <c r="AI654" s="154"/>
      <c r="AJ654" s="135" t="s">
        <v>659</v>
      </c>
      <c r="AK654" s="119" t="s">
        <v>659</v>
      </c>
      <c r="AM654" s="131"/>
    </row>
    <row r="655" spans="1:39" s="119" customFormat="1" ht="15" hidden="1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766</v>
      </c>
      <c r="G655" s="119" t="s">
        <v>766</v>
      </c>
      <c r="H655" s="119" t="s">
        <v>766</v>
      </c>
      <c r="I655" s="163" t="s">
        <v>202</v>
      </c>
      <c r="J655" s="119" t="s">
        <v>572</v>
      </c>
      <c r="K655" s="119" t="s">
        <v>573</v>
      </c>
      <c r="L655" s="119" t="s">
        <v>766</v>
      </c>
      <c r="M655" s="119" t="s">
        <v>45</v>
      </c>
      <c r="N655" s="135">
        <v>0.05</v>
      </c>
      <c r="O655" s="135" t="s">
        <v>50</v>
      </c>
      <c r="P655" s="135" t="s">
        <v>437</v>
      </c>
      <c r="Q655" s="137">
        <v>0</v>
      </c>
      <c r="R655" s="137">
        <v>0</v>
      </c>
      <c r="S655" s="137">
        <v>254915.77</v>
      </c>
      <c r="T655" s="137">
        <f t="shared" si="124"/>
        <v>12745.788500000001</v>
      </c>
      <c r="U655" s="137">
        <f t="shared" si="128"/>
        <v>267661.55849999998</v>
      </c>
      <c r="V655" s="137">
        <v>264592.59000000003</v>
      </c>
      <c r="W655" s="137">
        <f t="shared" si="129"/>
        <v>3068.968499999959</v>
      </c>
      <c r="X655" s="137">
        <f t="shared" si="125"/>
        <v>2922.8271428571038</v>
      </c>
      <c r="Y655" s="137">
        <f t="shared" si="130"/>
        <v>146.14135714285521</v>
      </c>
      <c r="Z655" s="137">
        <f>272773.37-Z1171</f>
        <v>52773.369999999995</v>
      </c>
      <c r="AA655" s="137">
        <f t="shared" si="126"/>
        <v>211819.22000000003</v>
      </c>
      <c r="AB655" s="146">
        <f t="shared" si="132"/>
        <v>50260.352380952376</v>
      </c>
      <c r="AC655" s="147">
        <f t="shared" si="127"/>
        <v>2513.0176190476195</v>
      </c>
      <c r="AD655" s="137">
        <f t="shared" si="131"/>
        <v>51732.539351205472</v>
      </c>
      <c r="AE655" s="138">
        <v>0.1077</v>
      </c>
      <c r="AF655" s="137">
        <f t="shared" si="123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hidden="1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767</v>
      </c>
      <c r="G656" s="119" t="s">
        <v>767</v>
      </c>
      <c r="H656" s="119" t="s">
        <v>767</v>
      </c>
      <c r="I656" s="163" t="s">
        <v>202</v>
      </c>
      <c r="J656" s="119" t="s">
        <v>572</v>
      </c>
      <c r="K656" s="119" t="s">
        <v>573</v>
      </c>
      <c r="L656" s="119" t="s">
        <v>767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4"/>
        <v>24961.878399999998</v>
      </c>
      <c r="U656" s="137">
        <f t="shared" si="128"/>
        <v>1273055.7984</v>
      </c>
      <c r="V656" s="137">
        <v>2428658.2999999998</v>
      </c>
      <c r="W656" s="137">
        <f t="shared" si="129"/>
        <v>-1155602.5015999998</v>
      </c>
      <c r="X656" s="137">
        <f t="shared" si="125"/>
        <v>-1132943.6290196076</v>
      </c>
      <c r="Y656" s="137">
        <f t="shared" si="130"/>
        <v>-22658.872580392286</v>
      </c>
      <c r="Z656" s="137">
        <v>1276877.18</v>
      </c>
      <c r="AA656" s="137">
        <f t="shared" si="126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7"/>
        <v>48798.846666666679</v>
      </c>
      <c r="AD656" s="137">
        <f t="shared" si="131"/>
        <v>1251693.779665886</v>
      </c>
      <c r="AE656" s="138">
        <v>0.1077</v>
      </c>
      <c r="AF656" s="137">
        <f t="shared" si="123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hidden="1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767</v>
      </c>
      <c r="G657" s="119" t="s">
        <v>767</v>
      </c>
      <c r="H657" s="119" t="s">
        <v>767</v>
      </c>
      <c r="I657" s="163" t="s">
        <v>202</v>
      </c>
      <c r="J657" s="119" t="s">
        <v>572</v>
      </c>
      <c r="K657" s="119" t="s">
        <v>573</v>
      </c>
      <c r="L657" s="119" t="s">
        <v>767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4"/>
        <v>93752.486400000009</v>
      </c>
      <c r="U657" s="137">
        <f t="shared" si="128"/>
        <v>1265658.5664000001</v>
      </c>
      <c r="V657" s="137">
        <v>0</v>
      </c>
      <c r="W657" s="137">
        <f t="shared" si="129"/>
        <v>1265658.5664000001</v>
      </c>
      <c r="X657" s="137">
        <f t="shared" si="125"/>
        <v>1171906.08</v>
      </c>
      <c r="Y657" s="137">
        <f t="shared" si="130"/>
        <v>93752.486400000053</v>
      </c>
      <c r="Z657" s="137">
        <v>1183552</v>
      </c>
      <c r="AA657" s="137">
        <f t="shared" si="126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7"/>
        <v>94634.379629629664</v>
      </c>
      <c r="AD657" s="137">
        <f t="shared" si="131"/>
        <v>1160209.2194263497</v>
      </c>
      <c r="AE657" s="138">
        <v>0.31559999999999999</v>
      </c>
      <c r="AF657" s="137">
        <f t="shared" si="123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hidden="1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767</v>
      </c>
      <c r="G658" s="119" t="s">
        <v>767</v>
      </c>
      <c r="H658" s="119" t="s">
        <v>767</v>
      </c>
      <c r="I658" s="163" t="s">
        <v>202</v>
      </c>
      <c r="J658" s="119" t="s">
        <v>572</v>
      </c>
      <c r="K658" s="119" t="s">
        <v>573</v>
      </c>
      <c r="L658" s="119" t="s">
        <v>767</v>
      </c>
      <c r="M658" s="119" t="s">
        <v>592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4"/>
        <v>0</v>
      </c>
      <c r="U658" s="137">
        <f t="shared" si="128"/>
        <v>46158</v>
      </c>
      <c r="V658" s="137">
        <v>46158</v>
      </c>
      <c r="W658" s="137">
        <f t="shared" si="129"/>
        <v>0</v>
      </c>
      <c r="X658" s="137">
        <f t="shared" si="125"/>
        <v>0</v>
      </c>
      <c r="Y658" s="137">
        <f t="shared" si="130"/>
        <v>0</v>
      </c>
      <c r="Z658" s="137">
        <v>46158</v>
      </c>
      <c r="AA658" s="137">
        <f t="shared" si="126"/>
        <v>0</v>
      </c>
      <c r="AB658" s="146">
        <f t="shared" ref="AB658:AB669" si="133">IF(O658="返货",Z658/(1+N658),IF(O658="返现",Z658,IF(O658="折扣",Z658*N658,IF(O658="无",Z658))))</f>
        <v>46158</v>
      </c>
      <c r="AC658" s="147">
        <f t="shared" si="127"/>
        <v>0</v>
      </c>
      <c r="AD658" s="137">
        <f t="shared" si="131"/>
        <v>45247.641971186269</v>
      </c>
      <c r="AE658" s="138">
        <v>0.35339999999999999</v>
      </c>
      <c r="AF658" s="137">
        <f t="shared" si="123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768</v>
      </c>
      <c r="G659" s="119" t="s">
        <v>768</v>
      </c>
      <c r="H659" s="119" t="s">
        <v>768</v>
      </c>
      <c r="I659" s="163" t="s">
        <v>202</v>
      </c>
      <c r="J659" s="119" t="s">
        <v>572</v>
      </c>
      <c r="K659" s="119" t="s">
        <v>573</v>
      </c>
      <c r="L659" s="119" t="s">
        <v>768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4"/>
        <v>400</v>
      </c>
      <c r="U659" s="137">
        <f t="shared" si="128"/>
        <v>20400</v>
      </c>
      <c r="V659" s="137">
        <v>20400</v>
      </c>
      <c r="W659" s="137">
        <f t="shared" si="129"/>
        <v>0</v>
      </c>
      <c r="X659" s="137">
        <f t="shared" si="125"/>
        <v>0</v>
      </c>
      <c r="Y659" s="137">
        <f t="shared" si="130"/>
        <v>0</v>
      </c>
      <c r="Z659" s="137">
        <v>20400</v>
      </c>
      <c r="AA659" s="137">
        <f t="shared" si="126"/>
        <v>0</v>
      </c>
      <c r="AB659" s="146">
        <f t="shared" si="133"/>
        <v>20000</v>
      </c>
      <c r="AC659" s="147">
        <f t="shared" si="127"/>
        <v>400</v>
      </c>
      <c r="AD659" s="137">
        <f t="shared" si="131"/>
        <v>19997.65796204775</v>
      </c>
      <c r="AE659" s="138">
        <v>0.1077</v>
      </c>
      <c r="AF659" s="137">
        <f t="shared" si="123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hidden="1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769</v>
      </c>
      <c r="G660" s="119" t="s">
        <v>769</v>
      </c>
      <c r="H660" s="119" t="s">
        <v>769</v>
      </c>
      <c r="I660" s="163" t="s">
        <v>202</v>
      </c>
      <c r="J660" s="119" t="s">
        <v>572</v>
      </c>
      <c r="K660" s="119" t="s">
        <v>573</v>
      </c>
      <c r="L660" s="119" t="s">
        <v>770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4"/>
        <v>14100</v>
      </c>
      <c r="U660" s="137">
        <f t="shared" si="128"/>
        <v>719100</v>
      </c>
      <c r="V660" s="137">
        <v>719100</v>
      </c>
      <c r="W660" s="137">
        <f t="shared" si="129"/>
        <v>0</v>
      </c>
      <c r="X660" s="137">
        <f t="shared" si="125"/>
        <v>0</v>
      </c>
      <c r="Y660" s="137">
        <f t="shared" si="130"/>
        <v>0</v>
      </c>
      <c r="Z660" s="137">
        <v>719100</v>
      </c>
      <c r="AA660" s="137">
        <f t="shared" si="126"/>
        <v>0</v>
      </c>
      <c r="AB660" s="146">
        <f t="shared" si="133"/>
        <v>705000</v>
      </c>
      <c r="AC660" s="147">
        <f t="shared" si="127"/>
        <v>14100</v>
      </c>
      <c r="AD660" s="137">
        <f t="shared" si="131"/>
        <v>704917.44316218316</v>
      </c>
      <c r="AE660" s="138">
        <v>0.1077</v>
      </c>
      <c r="AF660" s="137">
        <f t="shared" si="123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hidden="1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771</v>
      </c>
      <c r="G661" s="119" t="s">
        <v>771</v>
      </c>
      <c r="H661" s="119" t="s">
        <v>771</v>
      </c>
      <c r="I661" s="163" t="s">
        <v>202</v>
      </c>
      <c r="J661" s="119" t="s">
        <v>621</v>
      </c>
      <c r="K661" s="119" t="s">
        <v>622</v>
      </c>
      <c r="L661" s="119" t="s">
        <v>771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4"/>
        <v>0</v>
      </c>
      <c r="U661" s="137">
        <f t="shared" si="128"/>
        <v>10000</v>
      </c>
      <c r="V661" s="137">
        <v>0</v>
      </c>
      <c r="W661" s="137">
        <f t="shared" si="129"/>
        <v>10000</v>
      </c>
      <c r="X661" s="137">
        <f t="shared" si="125"/>
        <v>10000</v>
      </c>
      <c r="Y661" s="137">
        <f t="shared" si="130"/>
        <v>0</v>
      </c>
      <c r="Z661" s="137">
        <v>0</v>
      </c>
      <c r="AA661" s="137">
        <f t="shared" si="126"/>
        <v>0</v>
      </c>
      <c r="AB661" s="146">
        <f t="shared" si="133"/>
        <v>0</v>
      </c>
      <c r="AC661" s="147">
        <f t="shared" si="127"/>
        <v>0</v>
      </c>
      <c r="AD661" s="137">
        <f>Z661*0.905731236248844</f>
        <v>0</v>
      </c>
      <c r="AE661" s="138">
        <v>7.0000000000000007E-2</v>
      </c>
      <c r="AF661" s="137">
        <f t="shared" si="123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hidden="1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771</v>
      </c>
      <c r="G662" s="119" t="s">
        <v>771</v>
      </c>
      <c r="H662" s="119" t="s">
        <v>771</v>
      </c>
      <c r="I662" s="163" t="s">
        <v>202</v>
      </c>
      <c r="J662" s="119" t="s">
        <v>600</v>
      </c>
      <c r="K662" s="119" t="s">
        <v>636</v>
      </c>
      <c r="L662" s="119" t="s">
        <v>771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4"/>
        <v>0</v>
      </c>
      <c r="U662" s="137">
        <f t="shared" si="128"/>
        <v>6988</v>
      </c>
      <c r="V662" s="137">
        <v>30000</v>
      </c>
      <c r="W662" s="137">
        <f t="shared" si="129"/>
        <v>-23012</v>
      </c>
      <c r="X662" s="137">
        <f t="shared" si="125"/>
        <v>-23012</v>
      </c>
      <c r="Y662" s="137">
        <f t="shared" si="130"/>
        <v>0</v>
      </c>
      <c r="Z662" s="137">
        <v>16988</v>
      </c>
      <c r="AA662" s="137">
        <f t="shared" si="126"/>
        <v>13012</v>
      </c>
      <c r="AB662" s="146">
        <f t="shared" si="133"/>
        <v>16988</v>
      </c>
      <c r="AC662" s="147">
        <f t="shared" si="127"/>
        <v>0</v>
      </c>
      <c r="AD662" s="137">
        <v>16988</v>
      </c>
      <c r="AE662" s="138">
        <v>7.0000000000000007E-2</v>
      </c>
      <c r="AF662" s="137">
        <f t="shared" si="123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hidden="1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772</v>
      </c>
      <c r="G663" s="119" t="s">
        <v>772</v>
      </c>
      <c r="H663" s="119" t="s">
        <v>772</v>
      </c>
      <c r="I663" s="163" t="s">
        <v>202</v>
      </c>
      <c r="J663" s="119" t="s">
        <v>572</v>
      </c>
      <c r="K663" s="119" t="s">
        <v>573</v>
      </c>
      <c r="L663" s="119" t="s">
        <v>772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4"/>
        <v>200</v>
      </c>
      <c r="U663" s="137">
        <f t="shared" si="128"/>
        <v>10200</v>
      </c>
      <c r="V663" s="137">
        <v>10000</v>
      </c>
      <c r="W663" s="137">
        <f t="shared" si="129"/>
        <v>200</v>
      </c>
      <c r="X663" s="137">
        <f t="shared" si="125"/>
        <v>196.07843137254901</v>
      </c>
      <c r="Y663" s="137">
        <f t="shared" si="130"/>
        <v>3.9215686274509949</v>
      </c>
      <c r="Z663" s="137">
        <v>10000</v>
      </c>
      <c r="AA663" s="137">
        <f t="shared" si="126"/>
        <v>0</v>
      </c>
      <c r="AB663" s="146">
        <f t="shared" si="133"/>
        <v>9803.9215686274511</v>
      </c>
      <c r="AC663" s="147">
        <f t="shared" si="127"/>
        <v>196.07843137254895</v>
      </c>
      <c r="AD663" s="137">
        <f t="shared" ref="AD663:AD681" si="134">Z663*0.980277351080772</f>
        <v>9802.7735108077195</v>
      </c>
      <c r="AE663" s="138">
        <v>0.1077</v>
      </c>
      <c r="AF663" s="137">
        <f t="shared" si="123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hidden="1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773</v>
      </c>
      <c r="G664" s="119" t="s">
        <v>773</v>
      </c>
      <c r="H664" s="119" t="s">
        <v>773</v>
      </c>
      <c r="I664" s="163" t="s">
        <v>202</v>
      </c>
      <c r="J664" s="119" t="s">
        <v>572</v>
      </c>
      <c r="K664" s="119" t="s">
        <v>573</v>
      </c>
      <c r="L664" s="119" t="s">
        <v>774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4"/>
        <v>357.93299999999994</v>
      </c>
      <c r="U664" s="137">
        <f t="shared" si="128"/>
        <v>2744.1529999999998</v>
      </c>
      <c r="V664" s="137">
        <v>0</v>
      </c>
      <c r="W664" s="137">
        <f t="shared" si="129"/>
        <v>2744.1529999999998</v>
      </c>
      <c r="X664" s="137">
        <f t="shared" si="125"/>
        <v>2386.2199999999998</v>
      </c>
      <c r="Y664" s="137">
        <f t="shared" si="130"/>
        <v>357.93299999999999</v>
      </c>
      <c r="Z664" s="137">
        <v>2505.5300000000002</v>
      </c>
      <c r="AA664" s="137">
        <f t="shared" si="126"/>
        <v>-2505.5300000000002</v>
      </c>
      <c r="AB664" s="146">
        <f t="shared" si="133"/>
        <v>2178.7217391304353</v>
      </c>
      <c r="AC664" s="147">
        <f t="shared" si="127"/>
        <v>326.80826086956495</v>
      </c>
      <c r="AD664" s="137">
        <f t="shared" si="134"/>
        <v>2456.1143114534066</v>
      </c>
      <c r="AE664" s="138">
        <v>0.31559999999999999</v>
      </c>
      <c r="AF664" s="137">
        <f t="shared" si="123"/>
        <v>775.14967669469513</v>
      </c>
      <c r="AG664" s="137">
        <v>463.93700713043501</v>
      </c>
      <c r="AH664" s="154"/>
      <c r="AI664" s="154"/>
      <c r="AJ664" s="135" t="s">
        <v>659</v>
      </c>
      <c r="AK664" s="119" t="s">
        <v>659</v>
      </c>
      <c r="AM664" s="131"/>
    </row>
    <row r="665" spans="1:39" s="119" customFormat="1" ht="15" hidden="1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773</v>
      </c>
      <c r="G665" s="119" t="s">
        <v>773</v>
      </c>
      <c r="H665" s="119" t="s">
        <v>773</v>
      </c>
      <c r="I665" s="163" t="s">
        <v>202</v>
      </c>
      <c r="J665" s="119" t="s">
        <v>572</v>
      </c>
      <c r="K665" s="119" t="s">
        <v>573</v>
      </c>
      <c r="L665" s="119" t="s">
        <v>774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4"/>
        <v>154.10850000000002</v>
      </c>
      <c r="U665" s="137">
        <f t="shared" si="128"/>
        <v>3236.2784999999999</v>
      </c>
      <c r="V665" s="137">
        <v>10200</v>
      </c>
      <c r="W665" s="137">
        <f t="shared" si="129"/>
        <v>-6963.7214999999997</v>
      </c>
      <c r="X665" s="137">
        <f t="shared" si="125"/>
        <v>-6632.1157142857137</v>
      </c>
      <c r="Y665" s="137">
        <f t="shared" si="130"/>
        <v>-331.60578571428596</v>
      </c>
      <c r="Z665" s="137">
        <v>3236.28</v>
      </c>
      <c r="AA665" s="137">
        <f t="shared" si="126"/>
        <v>6963.7199999999993</v>
      </c>
      <c r="AB665" s="146">
        <f t="shared" si="133"/>
        <v>3082.1714285714288</v>
      </c>
      <c r="AC665" s="147">
        <f t="shared" si="127"/>
        <v>154.10857142857139</v>
      </c>
      <c r="AD665" s="137">
        <f t="shared" si="134"/>
        <v>3172.4519857556811</v>
      </c>
      <c r="AE665" s="138">
        <v>0.1077</v>
      </c>
      <c r="AF665" s="137">
        <f t="shared" si="123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hidden="1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775</v>
      </c>
      <c r="G666" s="119" t="s">
        <v>775</v>
      </c>
      <c r="H666" s="119" t="s">
        <v>775</v>
      </c>
      <c r="I666" s="163" t="s">
        <v>202</v>
      </c>
      <c r="J666" s="119" t="s">
        <v>572</v>
      </c>
      <c r="K666" s="119" t="s">
        <v>573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4"/>
        <v>47970.382000000005</v>
      </c>
      <c r="U666" s="137">
        <f t="shared" si="128"/>
        <v>2446489.4820000003</v>
      </c>
      <c r="V666" s="137">
        <v>0</v>
      </c>
      <c r="W666" s="137">
        <f t="shared" si="129"/>
        <v>2446489.4820000003</v>
      </c>
      <c r="X666" s="137">
        <f t="shared" si="125"/>
        <v>2398519.1</v>
      </c>
      <c r="Y666" s="137">
        <f t="shared" si="130"/>
        <v>47970.382000000216</v>
      </c>
      <c r="Z666" s="137">
        <v>2446489.4786</v>
      </c>
      <c r="AA666" s="137">
        <f t="shared" si="126"/>
        <v>-2446489.4786</v>
      </c>
      <c r="AB666" s="146">
        <f t="shared" si="133"/>
        <v>2398519.0966666667</v>
      </c>
      <c r="AC666" s="147">
        <f t="shared" si="127"/>
        <v>47970.381933333352</v>
      </c>
      <c r="AD666" s="137">
        <f t="shared" si="134"/>
        <v>2398238.2255289871</v>
      </c>
      <c r="AE666" s="138">
        <v>0.1077</v>
      </c>
      <c r="AF666" s="137">
        <f t="shared" si="123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hidden="1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775</v>
      </c>
      <c r="G667" s="119" t="s">
        <v>775</v>
      </c>
      <c r="H667" s="119" t="s">
        <v>775</v>
      </c>
      <c r="I667" s="163" t="s">
        <v>202</v>
      </c>
      <c r="J667" s="119" t="s">
        <v>572</v>
      </c>
      <c r="K667" s="119" t="s">
        <v>573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4"/>
        <v>305671.54639999999</v>
      </c>
      <c r="U667" s="137">
        <f t="shared" si="128"/>
        <v>4126565.8764</v>
      </c>
      <c r="V667" s="137">
        <v>0</v>
      </c>
      <c r="W667" s="137">
        <f t="shared" si="129"/>
        <v>4126565.8764</v>
      </c>
      <c r="X667" s="137">
        <f t="shared" si="125"/>
        <v>3820894.3299999996</v>
      </c>
      <c r="Y667" s="137">
        <f t="shared" si="130"/>
        <v>305671.54640000034</v>
      </c>
      <c r="Z667" s="137">
        <v>4126565.8800000004</v>
      </c>
      <c r="AA667" s="137">
        <f t="shared" si="126"/>
        <v>-4126565.8800000004</v>
      </c>
      <c r="AB667" s="146">
        <f t="shared" si="133"/>
        <v>3820894.3333333335</v>
      </c>
      <c r="AC667" s="147">
        <f t="shared" si="127"/>
        <v>305671.54666666687</v>
      </c>
      <c r="AD667" s="137">
        <f t="shared" si="134"/>
        <v>4045179.0699066953</v>
      </c>
      <c r="AE667" s="138">
        <v>0.31559999999999999</v>
      </c>
      <c r="AF667" s="137">
        <f t="shared" si="123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hidden="1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776</v>
      </c>
      <c r="G668" s="119" t="s">
        <v>776</v>
      </c>
      <c r="H668" s="119" t="s">
        <v>776</v>
      </c>
      <c r="I668" s="163" t="s">
        <v>202</v>
      </c>
      <c r="J668" s="119" t="s">
        <v>572</v>
      </c>
      <c r="K668" s="119" t="s">
        <v>573</v>
      </c>
      <c r="L668" s="119" t="s">
        <v>777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4"/>
        <v>532.36080000000004</v>
      </c>
      <c r="U668" s="137">
        <f t="shared" si="128"/>
        <v>27150.400799999999</v>
      </c>
      <c r="V668" s="137">
        <v>81600</v>
      </c>
      <c r="W668" s="137">
        <f t="shared" si="129"/>
        <v>-54449.599199999997</v>
      </c>
      <c r="X668" s="137">
        <f t="shared" si="125"/>
        <v>-53381.96</v>
      </c>
      <c r="Y668" s="137">
        <f t="shared" si="130"/>
        <v>-1067.6391999999978</v>
      </c>
      <c r="Z668" s="137">
        <v>27150.400000000001</v>
      </c>
      <c r="AA668" s="137">
        <f t="shared" si="126"/>
        <v>54449.599999999999</v>
      </c>
      <c r="AB668" s="146">
        <f t="shared" si="133"/>
        <v>26618.039215686276</v>
      </c>
      <c r="AC668" s="147">
        <f t="shared" si="127"/>
        <v>532.36078431372516</v>
      </c>
      <c r="AD668" s="137">
        <f t="shared" si="134"/>
        <v>26614.922192783393</v>
      </c>
      <c r="AE668" s="138">
        <v>0.1077</v>
      </c>
      <c r="AF668" s="137">
        <f t="shared" si="123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hidden="1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776</v>
      </c>
      <c r="G669" s="119" t="s">
        <v>776</v>
      </c>
      <c r="H669" s="119" t="s">
        <v>776</v>
      </c>
      <c r="I669" s="163" t="s">
        <v>202</v>
      </c>
      <c r="J669" s="119" t="s">
        <v>572</v>
      </c>
      <c r="K669" s="119" t="s">
        <v>573</v>
      </c>
      <c r="L669" s="119" t="s">
        <v>777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4"/>
        <v>576.96480000000008</v>
      </c>
      <c r="U669" s="137">
        <f t="shared" si="128"/>
        <v>7789.0248000000001</v>
      </c>
      <c r="V669" s="137">
        <v>0</v>
      </c>
      <c r="W669" s="137">
        <f t="shared" si="129"/>
        <v>7789.0248000000001</v>
      </c>
      <c r="X669" s="137">
        <f t="shared" si="125"/>
        <v>7212.0599999999995</v>
      </c>
      <c r="Y669" s="137">
        <f t="shared" si="130"/>
        <v>576.96480000000065</v>
      </c>
      <c r="Z669" s="137">
        <v>7356.3</v>
      </c>
      <c r="AA669" s="137">
        <f t="shared" si="126"/>
        <v>-7356.3</v>
      </c>
      <c r="AB669" s="146">
        <f t="shared" si="133"/>
        <v>6811.3888888888887</v>
      </c>
      <c r="AC669" s="147">
        <f t="shared" si="127"/>
        <v>544.9111111111115</v>
      </c>
      <c r="AD669" s="137">
        <f t="shared" si="134"/>
        <v>7211.2142777554827</v>
      </c>
      <c r="AE669" s="138">
        <v>0.31559999999999999</v>
      </c>
      <c r="AF669" s="137">
        <f t="shared" si="123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hidden="1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572</v>
      </c>
      <c r="K670" s="119" t="s">
        <v>573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4"/>
        <v>50756.799400000004</v>
      </c>
      <c r="U670" s="137">
        <f t="shared" si="128"/>
        <v>2588596.7694000001</v>
      </c>
      <c r="V670" s="137">
        <v>35527137.960000001</v>
      </c>
      <c r="W670" s="137">
        <f t="shared" si="129"/>
        <v>-32938541.1906</v>
      </c>
      <c r="X670" s="137">
        <f t="shared" si="125"/>
        <v>-32292687.441764705</v>
      </c>
      <c r="Y670" s="137">
        <f t="shared" si="130"/>
        <v>-645853.74883529544</v>
      </c>
      <c r="Z670" s="137">
        <v>2411009.2714</v>
      </c>
      <c r="AA670" s="137">
        <f t="shared" si="126"/>
        <v>33116128.6886</v>
      </c>
      <c r="AB670" s="146">
        <f>Z670/(1+N670)</f>
        <v>2363734.5798039213</v>
      </c>
      <c r="AC670" s="147">
        <f t="shared" si="127"/>
        <v>47274.691596078686</v>
      </c>
      <c r="AD670" s="137">
        <f t="shared" si="134"/>
        <v>2363457.781999174</v>
      </c>
      <c r="AE670" s="138">
        <v>0.1077</v>
      </c>
      <c r="AF670" s="137">
        <f t="shared" si="123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hidden="1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572</v>
      </c>
      <c r="K671" s="119" t="s">
        <v>573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1658</v>
      </c>
      <c r="Q671" s="137">
        <v>608928.90710000007</v>
      </c>
      <c r="R671" s="137">
        <v>0</v>
      </c>
      <c r="S671" s="137">
        <v>24698066.5</v>
      </c>
      <c r="T671" s="137">
        <f t="shared" si="124"/>
        <v>1975845.32</v>
      </c>
      <c r="U671" s="137">
        <f t="shared" si="128"/>
        <v>26673911.82</v>
      </c>
      <c r="V671" s="137">
        <v>0</v>
      </c>
      <c r="W671" s="137">
        <f t="shared" si="129"/>
        <v>26673911.82</v>
      </c>
      <c r="X671" s="137">
        <f t="shared" si="125"/>
        <v>24698066.5</v>
      </c>
      <c r="Y671" s="137">
        <f t="shared" si="130"/>
        <v>1975845.3200000003</v>
      </c>
      <c r="Z671" s="137">
        <v>27127308.699999999</v>
      </c>
      <c r="AA671" s="137">
        <f t="shared" si="126"/>
        <v>-26518379.7929</v>
      </c>
      <c r="AB671" s="146">
        <f>(Z671-Q671)/(1+N671)</f>
        <v>24554055.363796294</v>
      </c>
      <c r="AC671" s="147">
        <f t="shared" si="127"/>
        <v>2573253.3362037055</v>
      </c>
      <c r="AD671" s="137">
        <f t="shared" si="134"/>
        <v>26592286.314386379</v>
      </c>
      <c r="AE671" s="138">
        <v>0.31559999999999999</v>
      </c>
      <c r="AF671" s="137">
        <f t="shared" si="123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hidden="1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119" t="s">
        <v>64</v>
      </c>
      <c r="G672" s="119" t="s">
        <v>64</v>
      </c>
      <c r="H672" s="119" t="s">
        <v>64</v>
      </c>
      <c r="I672" s="163" t="s">
        <v>202</v>
      </c>
      <c r="J672" s="119" t="s">
        <v>572</v>
      </c>
      <c r="K672" s="119" t="s">
        <v>573</v>
      </c>
      <c r="L672" s="119" t="s">
        <v>64</v>
      </c>
      <c r="M672" s="119" t="s">
        <v>592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4"/>
        <v>0</v>
      </c>
      <c r="U672" s="137">
        <f t="shared" si="128"/>
        <v>2982000</v>
      </c>
      <c r="V672" s="137">
        <v>2982000</v>
      </c>
      <c r="W672" s="137">
        <f t="shared" si="129"/>
        <v>0</v>
      </c>
      <c r="X672" s="137">
        <f t="shared" si="125"/>
        <v>0</v>
      </c>
      <c r="Y672" s="137">
        <f t="shared" si="130"/>
        <v>0</v>
      </c>
      <c r="Z672" s="137">
        <v>2982000</v>
      </c>
      <c r="AA672" s="137">
        <f t="shared" si="126"/>
        <v>0</v>
      </c>
      <c r="AB672" s="146">
        <f t="shared" ref="AB672:AB701" si="135">IF(O672="返货",Z672/(1+N672),IF(O672="返现",Z672,IF(O672="折扣",Z672*N672,IF(O672="无",Z672))))</f>
        <v>2982000</v>
      </c>
      <c r="AC672" s="147">
        <f t="shared" si="127"/>
        <v>0</v>
      </c>
      <c r="AD672" s="137">
        <f t="shared" si="134"/>
        <v>2923187.060922862</v>
      </c>
      <c r="AE672" s="138">
        <v>0.35339999999999999</v>
      </c>
      <c r="AF672" s="137">
        <f t="shared" si="123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778</v>
      </c>
      <c r="G673" s="119" t="s">
        <v>778</v>
      </c>
      <c r="H673" s="119" t="s">
        <v>778</v>
      </c>
      <c r="I673" s="163" t="s">
        <v>202</v>
      </c>
      <c r="J673" s="119" t="s">
        <v>572</v>
      </c>
      <c r="K673" s="119" t="s">
        <v>573</v>
      </c>
      <c r="L673" s="119" t="s">
        <v>779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4"/>
        <v>4827.3919999999998</v>
      </c>
      <c r="U673" s="137">
        <f t="shared" si="128"/>
        <v>53101.311999999998</v>
      </c>
      <c r="V673" s="137">
        <v>0</v>
      </c>
      <c r="W673" s="137">
        <f t="shared" si="129"/>
        <v>53101.311999999998</v>
      </c>
      <c r="X673" s="137">
        <f t="shared" si="125"/>
        <v>48273.919999999991</v>
      </c>
      <c r="Y673" s="137">
        <f t="shared" si="130"/>
        <v>4827.3920000000071</v>
      </c>
      <c r="Z673" s="137">
        <v>48273.919999999998</v>
      </c>
      <c r="AA673" s="137">
        <f t="shared" si="126"/>
        <v>-48273.919999999998</v>
      </c>
      <c r="AB673" s="146">
        <f t="shared" si="135"/>
        <v>43885.381818181813</v>
      </c>
      <c r="AC673" s="147">
        <f t="shared" si="127"/>
        <v>4388.538181818185</v>
      </c>
      <c r="AD673" s="137">
        <f t="shared" si="134"/>
        <v>47321.830423885098</v>
      </c>
      <c r="AE673" s="138">
        <v>0.31559999999999999</v>
      </c>
      <c r="AF673" s="137">
        <f t="shared" si="123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hidden="1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778</v>
      </c>
      <c r="G674" s="119" t="s">
        <v>778</v>
      </c>
      <c r="H674" s="119" t="s">
        <v>778</v>
      </c>
      <c r="I674" s="163" t="s">
        <v>202</v>
      </c>
      <c r="J674" s="119" t="s">
        <v>572</v>
      </c>
      <c r="K674" s="119" t="s">
        <v>573</v>
      </c>
      <c r="L674" s="119" t="s">
        <v>779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4"/>
        <v>607.51620000000003</v>
      </c>
      <c r="U674" s="137">
        <f t="shared" si="128"/>
        <v>20858.056199999999</v>
      </c>
      <c r="V674" s="137">
        <v>70000</v>
      </c>
      <c r="W674" s="137">
        <f t="shared" si="129"/>
        <v>-49141.943800000001</v>
      </c>
      <c r="X674" s="137">
        <f t="shared" si="125"/>
        <v>-47710.62504854369</v>
      </c>
      <c r="Y674" s="137">
        <f t="shared" si="130"/>
        <v>-1431.3187514563106</v>
      </c>
      <c r="Z674" s="137">
        <v>20250.54</v>
      </c>
      <c r="AA674" s="137">
        <f t="shared" si="126"/>
        <v>49749.46</v>
      </c>
      <c r="AB674" s="146">
        <f t="shared" si="135"/>
        <v>19660.718446601943</v>
      </c>
      <c r="AC674" s="147">
        <f t="shared" si="127"/>
        <v>589.82155339805831</v>
      </c>
      <c r="AD674" s="137">
        <f t="shared" si="134"/>
        <v>19851.145709155218</v>
      </c>
      <c r="AE674" s="138">
        <v>0.1077</v>
      </c>
      <c r="AF674" s="137">
        <f t="shared" si="123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hidden="1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780</v>
      </c>
      <c r="G675" s="119" t="s">
        <v>780</v>
      </c>
      <c r="H675" s="119" t="s">
        <v>780</v>
      </c>
      <c r="I675" s="163" t="s">
        <v>202</v>
      </c>
      <c r="J675" s="119" t="s">
        <v>572</v>
      </c>
      <c r="K675" s="119" t="s">
        <v>573</v>
      </c>
      <c r="L675" s="119" t="s">
        <v>780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4"/>
        <v>187.06400000000002</v>
      </c>
      <c r="U675" s="137">
        <f t="shared" si="128"/>
        <v>9540.264000000001</v>
      </c>
      <c r="V675" s="137">
        <v>10000</v>
      </c>
      <c r="W675" s="137">
        <f t="shared" si="129"/>
        <v>-459.73599999999897</v>
      </c>
      <c r="X675" s="137">
        <f t="shared" si="125"/>
        <v>-450.72156862744998</v>
      </c>
      <c r="Y675" s="137">
        <f t="shared" si="130"/>
        <v>-9.0144313725489837</v>
      </c>
      <c r="Z675" s="137">
        <v>9353.2000000000007</v>
      </c>
      <c r="AA675" s="137">
        <f t="shared" si="126"/>
        <v>646.79999999999927</v>
      </c>
      <c r="AB675" s="146">
        <f t="shared" si="135"/>
        <v>9169.8039215686276</v>
      </c>
      <c r="AC675" s="147">
        <f t="shared" si="127"/>
        <v>183.3960784313731</v>
      </c>
      <c r="AD675" s="137">
        <f t="shared" si="134"/>
        <v>9168.7301201286773</v>
      </c>
      <c r="AE675" s="138">
        <v>0.1077</v>
      </c>
      <c r="AF675" s="137">
        <f t="shared" si="123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hidden="1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780</v>
      </c>
      <c r="G676" s="119" t="s">
        <v>780</v>
      </c>
      <c r="H676" s="119" t="s">
        <v>780</v>
      </c>
      <c r="I676" s="163" t="s">
        <v>202</v>
      </c>
      <c r="J676" s="119" t="s">
        <v>572</v>
      </c>
      <c r="K676" s="119" t="s">
        <v>573</v>
      </c>
      <c r="L676" s="119" t="s">
        <v>780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4"/>
        <v>51.744</v>
      </c>
      <c r="U676" s="137">
        <f t="shared" si="128"/>
        <v>698.54399999999998</v>
      </c>
      <c r="V676" s="137">
        <v>0</v>
      </c>
      <c r="W676" s="137">
        <f t="shared" si="129"/>
        <v>698.54399999999998</v>
      </c>
      <c r="X676" s="137">
        <f t="shared" si="125"/>
        <v>646.79999999999995</v>
      </c>
      <c r="Y676" s="137">
        <f t="shared" si="130"/>
        <v>51.744000000000028</v>
      </c>
      <c r="Z676" s="137">
        <v>646.79999999999995</v>
      </c>
      <c r="AA676" s="137">
        <f t="shared" si="126"/>
        <v>-646.79999999999995</v>
      </c>
      <c r="AB676" s="146">
        <f t="shared" si="135"/>
        <v>598.8888888888888</v>
      </c>
      <c r="AC676" s="147">
        <f t="shared" si="127"/>
        <v>47.911111111111154</v>
      </c>
      <c r="AD676" s="137">
        <f t="shared" si="134"/>
        <v>634.04339067904323</v>
      </c>
      <c r="AE676" s="138">
        <v>0.31559999999999999</v>
      </c>
      <c r="AF676" s="137">
        <f t="shared" si="123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hidden="1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486</v>
      </c>
      <c r="G677" s="119" t="s">
        <v>486</v>
      </c>
      <c r="H677" s="119" t="s">
        <v>486</v>
      </c>
      <c r="I677" s="163" t="s">
        <v>202</v>
      </c>
      <c r="J677" s="119" t="s">
        <v>572</v>
      </c>
      <c r="K677" s="119" t="s">
        <v>573</v>
      </c>
      <c r="L677" s="119" t="s">
        <v>781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4"/>
        <v>2660.8695000000002</v>
      </c>
      <c r="U677" s="137">
        <f t="shared" si="128"/>
        <v>20399.999500000002</v>
      </c>
      <c r="V677" s="137">
        <v>0</v>
      </c>
      <c r="W677" s="137">
        <f t="shared" si="129"/>
        <v>20399.999500000002</v>
      </c>
      <c r="X677" s="137">
        <f t="shared" si="125"/>
        <v>17739.130000000005</v>
      </c>
      <c r="Y677" s="137">
        <f t="shared" si="130"/>
        <v>2660.8694999999971</v>
      </c>
      <c r="Z677" s="137">
        <v>49887.58</v>
      </c>
      <c r="AA677" s="137">
        <f t="shared" si="126"/>
        <v>-49887.58</v>
      </c>
      <c r="AB677" s="146">
        <f t="shared" si="135"/>
        <v>43380.504347826092</v>
      </c>
      <c r="AC677" s="147">
        <f t="shared" si="127"/>
        <v>6507.0756521739095</v>
      </c>
      <c r="AD677" s="137">
        <f t="shared" si="134"/>
        <v>48903.664774230099</v>
      </c>
      <c r="AE677" s="138">
        <v>0.31559999999999999</v>
      </c>
      <c r="AF677" s="137">
        <f t="shared" si="123"/>
        <v>15433.996602747018</v>
      </c>
      <c r="AG677" s="137">
        <v>9237.4445958260894</v>
      </c>
      <c r="AH677" s="154"/>
      <c r="AI677" s="154"/>
      <c r="AJ677" s="135" t="s">
        <v>659</v>
      </c>
      <c r="AK677" s="119" t="s">
        <v>659</v>
      </c>
      <c r="AM677" s="131"/>
    </row>
    <row r="678" spans="1:39" s="119" customFormat="1" ht="15" hidden="1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486</v>
      </c>
      <c r="G678" s="119" t="s">
        <v>486</v>
      </c>
      <c r="H678" s="119" t="s">
        <v>486</v>
      </c>
      <c r="I678" s="163" t="s">
        <v>202</v>
      </c>
      <c r="J678" s="119" t="s">
        <v>572</v>
      </c>
      <c r="K678" s="119" t="s">
        <v>573</v>
      </c>
      <c r="L678" s="119" t="s">
        <v>781</v>
      </c>
      <c r="M678" s="119" t="s">
        <v>45</v>
      </c>
      <c r="N678" s="136">
        <v>0.05</v>
      </c>
      <c r="O678" s="135" t="s">
        <v>50</v>
      </c>
      <c r="P678" s="135" t="s">
        <v>437</v>
      </c>
      <c r="Q678" s="137">
        <v>0</v>
      </c>
      <c r="R678" s="137">
        <v>0</v>
      </c>
      <c r="S678" s="137">
        <v>799984.93</v>
      </c>
      <c r="T678" s="137">
        <f t="shared" si="124"/>
        <v>39999.246500000008</v>
      </c>
      <c r="U678" s="137">
        <f t="shared" si="128"/>
        <v>839984.17650000006</v>
      </c>
      <c r="V678" s="137">
        <v>1113100</v>
      </c>
      <c r="W678" s="137">
        <f t="shared" si="129"/>
        <v>-273115.82349999994</v>
      </c>
      <c r="X678" s="137">
        <f t="shared" si="125"/>
        <v>-260110.30809523803</v>
      </c>
      <c r="Y678" s="137">
        <f t="shared" si="130"/>
        <v>-13005.515404761914</v>
      </c>
      <c r="Z678" s="137">
        <v>809084.17</v>
      </c>
      <c r="AA678" s="137">
        <f t="shared" si="126"/>
        <v>304015.82999999996</v>
      </c>
      <c r="AB678" s="146">
        <f t="shared" si="135"/>
        <v>770556.35238095233</v>
      </c>
      <c r="AC678" s="147">
        <f t="shared" si="127"/>
        <v>38527.81761904771</v>
      </c>
      <c r="AD678" s="137">
        <f t="shared" si="134"/>
        <v>793126.88696898508</v>
      </c>
      <c r="AE678" s="138">
        <v>0.1077</v>
      </c>
      <c r="AF678" s="137">
        <f t="shared" si="123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hidden="1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782</v>
      </c>
      <c r="G679" s="119" t="s">
        <v>782</v>
      </c>
      <c r="H679" s="119" t="s">
        <v>782</v>
      </c>
      <c r="I679" s="163" t="s">
        <v>202</v>
      </c>
      <c r="J679" s="119" t="s">
        <v>572</v>
      </c>
      <c r="K679" s="119" t="s">
        <v>573</v>
      </c>
      <c r="L679" s="119" t="s">
        <v>783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4"/>
        <v>153.72200000000001</v>
      </c>
      <c r="U679" s="137">
        <f t="shared" si="128"/>
        <v>7839.8220000000001</v>
      </c>
      <c r="V679" s="137">
        <v>10000</v>
      </c>
      <c r="W679" s="137">
        <f t="shared" si="129"/>
        <v>-2160.1779999999999</v>
      </c>
      <c r="X679" s="137">
        <f t="shared" si="125"/>
        <v>-2117.8215686274507</v>
      </c>
      <c r="Y679" s="137">
        <f t="shared" si="130"/>
        <v>-42.356431372549196</v>
      </c>
      <c r="Z679" s="137">
        <v>7686.1</v>
      </c>
      <c r="AA679" s="137">
        <f t="shared" si="126"/>
        <v>2313.8999999999996</v>
      </c>
      <c r="AB679" s="146">
        <f t="shared" si="135"/>
        <v>7535.3921568627457</v>
      </c>
      <c r="AC679" s="147">
        <f t="shared" si="127"/>
        <v>150.70784313725471</v>
      </c>
      <c r="AD679" s="137">
        <f t="shared" si="134"/>
        <v>7534.5097481419216</v>
      </c>
      <c r="AE679" s="138">
        <v>0.1077</v>
      </c>
      <c r="AF679" s="137">
        <f t="shared" si="123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hidden="1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782</v>
      </c>
      <c r="G680" s="119" t="s">
        <v>784</v>
      </c>
      <c r="H680" s="119" t="s">
        <v>784</v>
      </c>
      <c r="I680" s="163" t="s">
        <v>202</v>
      </c>
      <c r="J680" s="119" t="s">
        <v>572</v>
      </c>
      <c r="K680" s="119" t="s">
        <v>573</v>
      </c>
      <c r="L680" s="119" t="s">
        <v>785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4"/>
        <v>84</v>
      </c>
      <c r="U680" s="137">
        <f t="shared" si="128"/>
        <v>4284</v>
      </c>
      <c r="V680" s="137">
        <v>10000</v>
      </c>
      <c r="W680" s="137">
        <f t="shared" si="129"/>
        <v>-5716</v>
      </c>
      <c r="X680" s="137">
        <f t="shared" si="125"/>
        <v>-5603.9215686274511</v>
      </c>
      <c r="Y680" s="137">
        <f t="shared" si="130"/>
        <v>-112.07843137254895</v>
      </c>
      <c r="Z680" s="137">
        <v>4200</v>
      </c>
      <c r="AA680" s="137">
        <f t="shared" si="126"/>
        <v>5800</v>
      </c>
      <c r="AB680" s="146">
        <f t="shared" si="135"/>
        <v>4117.6470588235297</v>
      </c>
      <c r="AC680" s="147">
        <f t="shared" si="127"/>
        <v>82.352941176470267</v>
      </c>
      <c r="AD680" s="137">
        <f t="shared" si="134"/>
        <v>4117.1648745392422</v>
      </c>
      <c r="AE680" s="138">
        <v>0.1077</v>
      </c>
      <c r="AF680" s="137">
        <f t="shared" si="123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hidden="1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782</v>
      </c>
      <c r="G681" s="119" t="s">
        <v>784</v>
      </c>
      <c r="H681" s="119" t="s">
        <v>784</v>
      </c>
      <c r="I681" s="163" t="s">
        <v>202</v>
      </c>
      <c r="J681" s="119" t="s">
        <v>572</v>
      </c>
      <c r="K681" s="119" t="s">
        <v>573</v>
      </c>
      <c r="L681" s="119" t="s">
        <v>783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4"/>
        <v>464</v>
      </c>
      <c r="U681" s="137">
        <f t="shared" si="128"/>
        <v>6264</v>
      </c>
      <c r="V681" s="137">
        <v>0</v>
      </c>
      <c r="W681" s="137">
        <f t="shared" si="129"/>
        <v>6264</v>
      </c>
      <c r="X681" s="137">
        <f t="shared" si="125"/>
        <v>5800</v>
      </c>
      <c r="Y681" s="137">
        <f t="shared" si="130"/>
        <v>464</v>
      </c>
      <c r="Z681" s="137">
        <v>0</v>
      </c>
      <c r="AA681" s="137">
        <f t="shared" si="126"/>
        <v>0</v>
      </c>
      <c r="AB681" s="146">
        <f t="shared" si="135"/>
        <v>0</v>
      </c>
      <c r="AC681" s="147">
        <f t="shared" si="127"/>
        <v>0</v>
      </c>
      <c r="AD681" s="137">
        <f t="shared" si="134"/>
        <v>0</v>
      </c>
      <c r="AE681" s="138">
        <v>0.31559999999999999</v>
      </c>
      <c r="AF681" s="137">
        <f t="shared" si="123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hidden="1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786</v>
      </c>
      <c r="G682" s="119" t="s">
        <v>787</v>
      </c>
      <c r="H682" s="119" t="s">
        <v>787</v>
      </c>
      <c r="I682" s="163" t="s">
        <v>202</v>
      </c>
      <c r="J682" s="119" t="s">
        <v>600</v>
      </c>
      <c r="K682" s="119" t="s">
        <v>636</v>
      </c>
      <c r="L682" s="119" t="s">
        <v>786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4"/>
        <v>169.84459999999999</v>
      </c>
      <c r="U682" s="137">
        <f t="shared" si="128"/>
        <v>8662.0745999999999</v>
      </c>
      <c r="V682" s="137">
        <v>10200</v>
      </c>
      <c r="W682" s="137">
        <f t="shared" si="129"/>
        <v>-1537.9254000000001</v>
      </c>
      <c r="X682" s="137">
        <f t="shared" si="125"/>
        <v>-1507.77</v>
      </c>
      <c r="Y682" s="137">
        <f t="shared" si="130"/>
        <v>-30.1554000000001</v>
      </c>
      <c r="Z682" s="137">
        <v>8662.07</v>
      </c>
      <c r="AA682" s="137">
        <f t="shared" si="126"/>
        <v>1537.9300000000003</v>
      </c>
      <c r="AB682" s="146">
        <f t="shared" si="135"/>
        <v>8492.2254901960787</v>
      </c>
      <c r="AC682" s="147">
        <f t="shared" si="127"/>
        <v>169.84450980392103</v>
      </c>
      <c r="AD682" s="137">
        <v>8662.07</v>
      </c>
      <c r="AE682" s="138">
        <v>7.0000000000000007E-2</v>
      </c>
      <c r="AF682" s="137">
        <f t="shared" si="123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hidden="1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786</v>
      </c>
      <c r="G683" s="119" t="s">
        <v>787</v>
      </c>
      <c r="H683" s="119" t="s">
        <v>787</v>
      </c>
      <c r="I683" s="163" t="s">
        <v>202</v>
      </c>
      <c r="J683" s="119" t="s">
        <v>600</v>
      </c>
      <c r="K683" s="119" t="s">
        <v>636</v>
      </c>
      <c r="L683" s="119" t="s">
        <v>786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4"/>
        <v>120.6216</v>
      </c>
      <c r="U683" s="137">
        <f t="shared" si="128"/>
        <v>1628.3915999999999</v>
      </c>
      <c r="V683" s="137">
        <v>0</v>
      </c>
      <c r="W683" s="137">
        <f t="shared" si="129"/>
        <v>1628.3915999999999</v>
      </c>
      <c r="X683" s="137">
        <f t="shared" si="125"/>
        <v>1507.7699999999998</v>
      </c>
      <c r="Y683" s="137">
        <f t="shared" si="130"/>
        <v>120.62160000000017</v>
      </c>
      <c r="Z683" s="137">
        <v>1537.93</v>
      </c>
      <c r="AA683" s="137">
        <f t="shared" si="126"/>
        <v>-1537.93</v>
      </c>
      <c r="AB683" s="146">
        <f t="shared" si="135"/>
        <v>1424.0092592592591</v>
      </c>
      <c r="AC683" s="147">
        <f t="shared" si="127"/>
        <v>113.92074074074094</v>
      </c>
      <c r="AD683" s="137">
        <v>1537.93</v>
      </c>
      <c r="AE683" s="138">
        <v>0.2</v>
      </c>
      <c r="AF683" s="137">
        <f t="shared" si="123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hidden="1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788</v>
      </c>
      <c r="G684" s="119" t="s">
        <v>788</v>
      </c>
      <c r="H684" s="119" t="s">
        <v>788</v>
      </c>
      <c r="I684" s="163" t="s">
        <v>202</v>
      </c>
      <c r="J684" s="119" t="s">
        <v>572</v>
      </c>
      <c r="K684" s="119" t="s">
        <v>573</v>
      </c>
      <c r="L684" s="119" t="s">
        <v>788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4"/>
        <v>104.12219999999999</v>
      </c>
      <c r="U684" s="137">
        <f t="shared" si="128"/>
        <v>5310.2321999999995</v>
      </c>
      <c r="V684" s="137">
        <v>30000</v>
      </c>
      <c r="W684" s="137">
        <f t="shared" si="129"/>
        <v>-24689.767800000001</v>
      </c>
      <c r="X684" s="137">
        <f t="shared" si="125"/>
        <v>-24205.654705882353</v>
      </c>
      <c r="Y684" s="137">
        <f t="shared" si="130"/>
        <v>-484.11309411764887</v>
      </c>
      <c r="Z684" s="137">
        <v>5206.1099999999997</v>
      </c>
      <c r="AA684" s="137">
        <f t="shared" si="126"/>
        <v>24793.89</v>
      </c>
      <c r="AB684" s="146">
        <f t="shared" si="135"/>
        <v>5104.0294117647054</v>
      </c>
      <c r="AC684" s="147">
        <f t="shared" si="127"/>
        <v>102.08058823529427</v>
      </c>
      <c r="AD684" s="137">
        <f t="shared" ref="AD684:AD700" si="136">Z684*0.980277351080772</f>
        <v>5103.4317202351176</v>
      </c>
      <c r="AE684" s="138">
        <v>0.1077</v>
      </c>
      <c r="AF684" s="137">
        <f t="shared" si="123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hidden="1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493</v>
      </c>
      <c r="G685" s="119" t="s">
        <v>494</v>
      </c>
      <c r="H685" s="163" t="s">
        <v>495</v>
      </c>
      <c r="I685" s="163" t="s">
        <v>202</v>
      </c>
      <c r="J685" s="119" t="s">
        <v>572</v>
      </c>
      <c r="K685" s="119" t="s">
        <v>573</v>
      </c>
      <c r="L685" s="119" t="s">
        <v>496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4"/>
        <v>33086.245600000002</v>
      </c>
      <c r="U685" s="137">
        <f t="shared" si="128"/>
        <v>1687398.5256000001</v>
      </c>
      <c r="V685" s="137">
        <v>1676000</v>
      </c>
      <c r="W685" s="137">
        <f t="shared" si="129"/>
        <v>11398.525600000052</v>
      </c>
      <c r="X685" s="137">
        <f t="shared" si="125"/>
        <v>11175.025098039267</v>
      </c>
      <c r="Y685" s="137">
        <f t="shared" si="130"/>
        <v>223.50050196078519</v>
      </c>
      <c r="Z685" s="137">
        <v>1424827.33</v>
      </c>
      <c r="AA685" s="137">
        <f t="shared" si="126"/>
        <v>251172.66999999993</v>
      </c>
      <c r="AB685" s="146">
        <f t="shared" si="135"/>
        <v>1396889.5392156863</v>
      </c>
      <c r="AC685" s="147">
        <f t="shared" si="127"/>
        <v>27937.790784313809</v>
      </c>
      <c r="AD685" s="137">
        <f t="shared" si="136"/>
        <v>1396725.9607998889</v>
      </c>
      <c r="AE685" s="138">
        <v>0.1077</v>
      </c>
      <c r="AF685" s="137">
        <f t="shared" si="123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hidden="1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493</v>
      </c>
      <c r="G686" s="119" t="s">
        <v>494</v>
      </c>
      <c r="H686" s="163" t="s">
        <v>495</v>
      </c>
      <c r="I686" s="163" t="s">
        <v>202</v>
      </c>
      <c r="J686" s="119" t="s">
        <v>572</v>
      </c>
      <c r="K686" s="119" t="s">
        <v>573</v>
      </c>
      <c r="L686" s="119" t="s">
        <v>496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4"/>
        <v>40442.04</v>
      </c>
      <c r="U686" s="137">
        <f t="shared" si="128"/>
        <v>545967.54</v>
      </c>
      <c r="V686" s="137">
        <v>0</v>
      </c>
      <c r="W686" s="137">
        <f t="shared" si="129"/>
        <v>545967.54</v>
      </c>
      <c r="X686" s="137">
        <f t="shared" si="125"/>
        <v>505525.5</v>
      </c>
      <c r="Y686" s="137">
        <f t="shared" si="130"/>
        <v>40442.040000000037</v>
      </c>
      <c r="Z686" s="137">
        <v>23052.16</v>
      </c>
      <c r="AA686" s="137">
        <f t="shared" si="126"/>
        <v>-23052.16</v>
      </c>
      <c r="AB686" s="146">
        <f t="shared" si="135"/>
        <v>21344.592592592591</v>
      </c>
      <c r="AC686" s="147">
        <f t="shared" si="127"/>
        <v>1707.5674074074086</v>
      </c>
      <c r="AD686" s="137">
        <f t="shared" si="136"/>
        <v>22597.510341490128</v>
      </c>
      <c r="AE686" s="138">
        <v>0.31559999999999999</v>
      </c>
      <c r="AF686" s="137">
        <f t="shared" si="123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hidden="1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789</v>
      </c>
      <c r="G687" s="119" t="s">
        <v>789</v>
      </c>
      <c r="H687" s="119" t="s">
        <v>789</v>
      </c>
      <c r="I687" s="163" t="s">
        <v>202</v>
      </c>
      <c r="J687" s="119" t="s">
        <v>572</v>
      </c>
      <c r="K687" s="119" t="s">
        <v>573</v>
      </c>
      <c r="L687" s="119" t="s">
        <v>789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4"/>
        <v>200</v>
      </c>
      <c r="U687" s="137">
        <f t="shared" si="128"/>
        <v>10200</v>
      </c>
      <c r="V687" s="137">
        <v>10000</v>
      </c>
      <c r="W687" s="137">
        <f t="shared" si="129"/>
        <v>200</v>
      </c>
      <c r="X687" s="137">
        <f t="shared" si="125"/>
        <v>196.07843137254901</v>
      </c>
      <c r="Y687" s="137">
        <f t="shared" si="130"/>
        <v>3.9215686274509949</v>
      </c>
      <c r="Z687" s="137">
        <v>10000</v>
      </c>
      <c r="AA687" s="137">
        <f t="shared" si="126"/>
        <v>0</v>
      </c>
      <c r="AB687" s="146">
        <f t="shared" si="135"/>
        <v>9803.9215686274511</v>
      </c>
      <c r="AC687" s="147">
        <f t="shared" si="127"/>
        <v>196.07843137254895</v>
      </c>
      <c r="AD687" s="137">
        <f t="shared" si="136"/>
        <v>9802.7735108077195</v>
      </c>
      <c r="AE687" s="138">
        <v>0.1077</v>
      </c>
      <c r="AF687" s="137">
        <f t="shared" ref="AF687:AF750" si="137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hidden="1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790</v>
      </c>
      <c r="H688" s="119" t="s">
        <v>790</v>
      </c>
      <c r="I688" s="163" t="s">
        <v>202</v>
      </c>
      <c r="J688" s="119" t="s">
        <v>572</v>
      </c>
      <c r="K688" s="119" t="s">
        <v>573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4"/>
        <v>169.71740000000003</v>
      </c>
      <c r="U688" s="137">
        <f t="shared" si="128"/>
        <v>8655.5874000000003</v>
      </c>
      <c r="V688" s="137">
        <v>30200</v>
      </c>
      <c r="W688" s="137">
        <f t="shared" si="129"/>
        <v>-21544.4126</v>
      </c>
      <c r="X688" s="137">
        <f t="shared" si="125"/>
        <v>-21121.973137254899</v>
      </c>
      <c r="Y688" s="137">
        <f t="shared" si="130"/>
        <v>-422.43946274510017</v>
      </c>
      <c r="Z688" s="137">
        <v>8485.8700000000008</v>
      </c>
      <c r="AA688" s="137">
        <f t="shared" si="126"/>
        <v>21714.129999999997</v>
      </c>
      <c r="AB688" s="146">
        <f t="shared" si="135"/>
        <v>8319.4803921568637</v>
      </c>
      <c r="AC688" s="147">
        <f t="shared" si="127"/>
        <v>166.38960784313713</v>
      </c>
      <c r="AD688" s="137">
        <f t="shared" si="136"/>
        <v>8318.506165215791</v>
      </c>
      <c r="AE688" s="138">
        <v>0.1077</v>
      </c>
      <c r="AF688" s="137">
        <f t="shared" si="137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hidden="1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790</v>
      </c>
      <c r="H689" s="119" t="s">
        <v>790</v>
      </c>
      <c r="I689" s="163" t="s">
        <v>202</v>
      </c>
      <c r="J689" s="119" t="s">
        <v>572</v>
      </c>
      <c r="K689" s="119" t="s">
        <v>573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4"/>
        <v>870.94560000000001</v>
      </c>
      <c r="U689" s="137">
        <f t="shared" si="128"/>
        <v>11757.765599999999</v>
      </c>
      <c r="V689" s="137">
        <v>0</v>
      </c>
      <c r="W689" s="137">
        <f t="shared" si="129"/>
        <v>11757.765599999999</v>
      </c>
      <c r="X689" s="137">
        <f t="shared" si="125"/>
        <v>10886.819999999998</v>
      </c>
      <c r="Y689" s="137">
        <f t="shared" si="130"/>
        <v>870.94560000000092</v>
      </c>
      <c r="Z689" s="137">
        <v>10886.82</v>
      </c>
      <c r="AA689" s="137">
        <f t="shared" si="126"/>
        <v>-10886.82</v>
      </c>
      <c r="AB689" s="146">
        <f t="shared" si="135"/>
        <v>10080.388888888889</v>
      </c>
      <c r="AC689" s="147">
        <f t="shared" si="127"/>
        <v>806.43111111111102</v>
      </c>
      <c r="AD689" s="137">
        <f t="shared" si="136"/>
        <v>10672.10307129317</v>
      </c>
      <c r="AE689" s="138">
        <v>0.31559999999999999</v>
      </c>
      <c r="AF689" s="137">
        <f t="shared" si="137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hidden="1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572</v>
      </c>
      <c r="K690" s="119" t="s">
        <v>573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4"/>
        <v>0</v>
      </c>
      <c r="U690" s="137">
        <f t="shared" si="128"/>
        <v>15750.71</v>
      </c>
      <c r="V690" s="137">
        <v>16750.71</v>
      </c>
      <c r="W690" s="137">
        <f t="shared" si="129"/>
        <v>-1000</v>
      </c>
      <c r="X690" s="137">
        <f t="shared" si="125"/>
        <v>-1000</v>
      </c>
      <c r="Y690" s="137">
        <f t="shared" si="130"/>
        <v>0</v>
      </c>
      <c r="Z690" s="137">
        <v>15750.71</v>
      </c>
      <c r="AA690" s="137">
        <f t="shared" si="126"/>
        <v>1000</v>
      </c>
      <c r="AB690" s="146">
        <f t="shared" si="135"/>
        <v>15750.71</v>
      </c>
      <c r="AC690" s="147">
        <f t="shared" si="127"/>
        <v>0</v>
      </c>
      <c r="AD690" s="137">
        <f t="shared" si="136"/>
        <v>15440.064276441424</v>
      </c>
      <c r="AE690" s="138">
        <v>0.1077</v>
      </c>
      <c r="AF690" s="137">
        <f t="shared" si="137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hidden="1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572</v>
      </c>
      <c r="K691" s="119" t="s">
        <v>573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4"/>
        <v>0</v>
      </c>
      <c r="U691" s="137">
        <f t="shared" si="128"/>
        <v>1000</v>
      </c>
      <c r="V691" s="137">
        <v>0</v>
      </c>
      <c r="W691" s="137">
        <f t="shared" si="129"/>
        <v>1000</v>
      </c>
      <c r="X691" s="137">
        <f t="shared" si="125"/>
        <v>1000</v>
      </c>
      <c r="Y691" s="137">
        <f t="shared" si="130"/>
        <v>0</v>
      </c>
      <c r="Z691" s="137">
        <v>1000</v>
      </c>
      <c r="AA691" s="137">
        <f t="shared" si="126"/>
        <v>-1000</v>
      </c>
      <c r="AB691" s="146">
        <f t="shared" si="135"/>
        <v>1000</v>
      </c>
      <c r="AC691" s="147">
        <f t="shared" si="127"/>
        <v>0</v>
      </c>
      <c r="AD691" s="137">
        <f t="shared" si="136"/>
        <v>980.27735108077195</v>
      </c>
      <c r="AE691" s="138">
        <v>0.31559999999999999</v>
      </c>
      <c r="AF691" s="137">
        <f t="shared" si="137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hidden="1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791</v>
      </c>
      <c r="G692" s="119" t="s">
        <v>791</v>
      </c>
      <c r="H692" s="119" t="s">
        <v>791</v>
      </c>
      <c r="I692" s="163" t="s">
        <v>202</v>
      </c>
      <c r="J692" s="119" t="s">
        <v>572</v>
      </c>
      <c r="K692" s="119" t="s">
        <v>573</v>
      </c>
      <c r="L692" s="119" t="s">
        <v>791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4"/>
        <v>4104.2920000000004</v>
      </c>
      <c r="U692" s="137">
        <f t="shared" si="128"/>
        <v>209318.89199999999</v>
      </c>
      <c r="V692" s="137">
        <v>230000</v>
      </c>
      <c r="W692" s="137">
        <f t="shared" si="129"/>
        <v>-20681.108000000007</v>
      </c>
      <c r="X692" s="137">
        <f t="shared" si="125"/>
        <v>-20275.596078431379</v>
      </c>
      <c r="Y692" s="137">
        <f t="shared" si="130"/>
        <v>-405.51192156862817</v>
      </c>
      <c r="Z692" s="137">
        <v>184926.5</v>
      </c>
      <c r="AA692" s="137">
        <f t="shared" si="126"/>
        <v>45073.5</v>
      </c>
      <c r="AB692" s="146">
        <f t="shared" si="135"/>
        <v>181300.49019607843</v>
      </c>
      <c r="AC692" s="147">
        <f t="shared" si="127"/>
        <v>3626.0098039215663</v>
      </c>
      <c r="AD692" s="137">
        <f t="shared" si="136"/>
        <v>181279.25956463837</v>
      </c>
      <c r="AE692" s="138">
        <v>0.1077</v>
      </c>
      <c r="AF692" s="137">
        <f t="shared" si="137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hidden="1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791</v>
      </c>
      <c r="G693" s="119" t="s">
        <v>791</v>
      </c>
      <c r="H693" s="119" t="s">
        <v>791</v>
      </c>
      <c r="I693" s="163" t="s">
        <v>202</v>
      </c>
      <c r="J693" s="119" t="s">
        <v>572</v>
      </c>
      <c r="K693" s="119" t="s">
        <v>573</v>
      </c>
      <c r="L693" s="119" t="s">
        <v>791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4"/>
        <v>3605.88</v>
      </c>
      <c r="U693" s="137">
        <f t="shared" si="128"/>
        <v>48679.38</v>
      </c>
      <c r="V693" s="137">
        <v>0</v>
      </c>
      <c r="W693" s="137">
        <f t="shared" si="129"/>
        <v>48679.38</v>
      </c>
      <c r="X693" s="137">
        <f t="shared" si="125"/>
        <v>45073.499999999993</v>
      </c>
      <c r="Y693" s="137">
        <f t="shared" si="130"/>
        <v>3605.8800000000047</v>
      </c>
      <c r="Z693" s="137">
        <v>45073.5</v>
      </c>
      <c r="AA693" s="137">
        <f t="shared" si="126"/>
        <v>-45073.5</v>
      </c>
      <c r="AB693" s="146">
        <f t="shared" si="135"/>
        <v>41734.722222222219</v>
      </c>
      <c r="AC693" s="147">
        <f t="shared" si="127"/>
        <v>3338.777777777781</v>
      </c>
      <c r="AD693" s="137">
        <f t="shared" si="136"/>
        <v>44184.531183939172</v>
      </c>
      <c r="AE693" s="138">
        <v>0.31559999999999999</v>
      </c>
      <c r="AF693" s="137">
        <f t="shared" si="137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hidden="1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792</v>
      </c>
      <c r="G694" s="119" t="s">
        <v>792</v>
      </c>
      <c r="H694" s="119" t="s">
        <v>792</v>
      </c>
      <c r="I694" s="163" t="s">
        <v>202</v>
      </c>
      <c r="J694" s="119" t="s">
        <v>572</v>
      </c>
      <c r="K694" s="119" t="s">
        <v>573</v>
      </c>
      <c r="L694" s="119" t="s">
        <v>793</v>
      </c>
      <c r="M694" s="119" t="s">
        <v>45</v>
      </c>
      <c r="N694" s="136">
        <v>0</v>
      </c>
      <c r="O694" s="135" t="s">
        <v>1651</v>
      </c>
      <c r="P694" s="135"/>
      <c r="Q694" s="137">
        <v>0</v>
      </c>
      <c r="R694" s="137">
        <v>0</v>
      </c>
      <c r="S694" s="137">
        <v>49770.5</v>
      </c>
      <c r="T694" s="137">
        <f t="shared" si="124"/>
        <v>0</v>
      </c>
      <c r="U694" s="137">
        <f t="shared" si="128"/>
        <v>49770.5</v>
      </c>
      <c r="V694" s="137">
        <v>60000</v>
      </c>
      <c r="W694" s="137">
        <f t="shared" si="129"/>
        <v>-10229.5</v>
      </c>
      <c r="X694" s="137">
        <f t="shared" si="125"/>
        <v>-10229.5</v>
      </c>
      <c r="Y694" s="137">
        <f t="shared" si="130"/>
        <v>0</v>
      </c>
      <c r="Z694" s="137">
        <v>49770.5</v>
      </c>
      <c r="AA694" s="137">
        <f t="shared" si="126"/>
        <v>10229.5</v>
      </c>
      <c r="AB694" s="146">
        <f t="shared" si="135"/>
        <v>49770.5</v>
      </c>
      <c r="AC694" s="147">
        <f t="shared" si="127"/>
        <v>0</v>
      </c>
      <c r="AD694" s="137">
        <f t="shared" si="136"/>
        <v>48788.893901965559</v>
      </c>
      <c r="AE694" s="138">
        <v>0.1077</v>
      </c>
      <c r="AF694" s="137">
        <f t="shared" si="137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hidden="1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794</v>
      </c>
      <c r="G695" s="119" t="s">
        <v>794</v>
      </c>
      <c r="H695" s="119" t="s">
        <v>794</v>
      </c>
      <c r="I695" s="163" t="s">
        <v>202</v>
      </c>
      <c r="J695" s="119" t="s">
        <v>572</v>
      </c>
      <c r="K695" s="119" t="s">
        <v>573</v>
      </c>
      <c r="L695" s="119" t="s">
        <v>794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4"/>
        <v>401.07659999999998</v>
      </c>
      <c r="U695" s="137">
        <f t="shared" si="128"/>
        <v>13770.2966</v>
      </c>
      <c r="V695" s="137">
        <v>30000</v>
      </c>
      <c r="W695" s="137">
        <f t="shared" si="129"/>
        <v>-16229.7034</v>
      </c>
      <c r="X695" s="137">
        <f t="shared" si="125"/>
        <v>-15756.99359223301</v>
      </c>
      <c r="Y695" s="137">
        <f t="shared" si="130"/>
        <v>-472.70980776699071</v>
      </c>
      <c r="Z695" s="137">
        <v>13770.3</v>
      </c>
      <c r="AA695" s="137">
        <f t="shared" si="126"/>
        <v>16229.7</v>
      </c>
      <c r="AB695" s="146">
        <f t="shared" si="135"/>
        <v>13369.223300970873</v>
      </c>
      <c r="AC695" s="147">
        <f t="shared" si="127"/>
        <v>401.07669902912676</v>
      </c>
      <c r="AD695" s="137">
        <f t="shared" si="136"/>
        <v>13498.713207587554</v>
      </c>
      <c r="AE695" s="138">
        <v>0.1077</v>
      </c>
      <c r="AF695" s="137">
        <f t="shared" si="137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794</v>
      </c>
      <c r="G696" s="119" t="s">
        <v>794</v>
      </c>
      <c r="H696" s="119" t="s">
        <v>794</v>
      </c>
      <c r="I696" s="163" t="s">
        <v>202</v>
      </c>
      <c r="J696" s="119" t="s">
        <v>572</v>
      </c>
      <c r="K696" s="119" t="s">
        <v>573</v>
      </c>
      <c r="L696" s="119" t="s">
        <v>794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4"/>
        <v>203.56889999999999</v>
      </c>
      <c r="U696" s="137">
        <f t="shared" si="128"/>
        <v>6989.1989000000003</v>
      </c>
      <c r="V696" s="137">
        <v>0</v>
      </c>
      <c r="W696" s="137">
        <f t="shared" si="129"/>
        <v>6989.1989000000003</v>
      </c>
      <c r="X696" s="137">
        <f t="shared" si="125"/>
        <v>6785.63</v>
      </c>
      <c r="Y696" s="137">
        <f t="shared" si="130"/>
        <v>203.56890000000021</v>
      </c>
      <c r="Z696" s="137">
        <v>6989.2</v>
      </c>
      <c r="AA696" s="137">
        <f t="shared" si="126"/>
        <v>-6989.2</v>
      </c>
      <c r="AB696" s="146">
        <f t="shared" si="135"/>
        <v>6785.6310679611643</v>
      </c>
      <c r="AC696" s="147">
        <f t="shared" si="127"/>
        <v>203.56893203883556</v>
      </c>
      <c r="AD696" s="137">
        <f t="shared" si="136"/>
        <v>6851.354462173731</v>
      </c>
      <c r="AE696" s="138">
        <v>0.31559999999999999</v>
      </c>
      <c r="AF696" s="137">
        <f t="shared" si="137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572</v>
      </c>
      <c r="K697" s="119" t="s">
        <v>573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4"/>
        <v>2057.5735999999997</v>
      </c>
      <c r="U697" s="137">
        <f t="shared" si="128"/>
        <v>53496.9136</v>
      </c>
      <c r="V697" s="137">
        <v>71400</v>
      </c>
      <c r="W697" s="137">
        <f t="shared" si="129"/>
        <v>-17903.0864</v>
      </c>
      <c r="X697" s="137">
        <f t="shared" si="125"/>
        <v>-17214.506153846152</v>
      </c>
      <c r="Y697" s="137">
        <f t="shared" si="130"/>
        <v>-688.58024615384784</v>
      </c>
      <c r="Z697" s="137">
        <v>54185.5</v>
      </c>
      <c r="AA697" s="137">
        <f t="shared" si="126"/>
        <v>17214.5</v>
      </c>
      <c r="AB697" s="146">
        <f t="shared" si="135"/>
        <v>52101.442307692305</v>
      </c>
      <c r="AC697" s="147">
        <f t="shared" si="127"/>
        <v>2084.0576923076951</v>
      </c>
      <c r="AD697" s="137">
        <f t="shared" si="136"/>
        <v>53116.818406987171</v>
      </c>
      <c r="AE697" s="138">
        <v>0.1077</v>
      </c>
      <c r="AF697" s="137">
        <f t="shared" si="137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795</v>
      </c>
      <c r="G698" s="119" t="s">
        <v>795</v>
      </c>
      <c r="H698" s="119" t="s">
        <v>795</v>
      </c>
      <c r="I698" s="163" t="s">
        <v>202</v>
      </c>
      <c r="J698" s="119" t="s">
        <v>572</v>
      </c>
      <c r="K698" s="119" t="s">
        <v>573</v>
      </c>
      <c r="L698" s="119" t="s">
        <v>796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4"/>
        <v>173.04</v>
      </c>
      <c r="U698" s="137">
        <f t="shared" si="128"/>
        <v>1326.6399999999999</v>
      </c>
      <c r="V698" s="137">
        <v>0</v>
      </c>
      <c r="W698" s="137">
        <f t="shared" si="129"/>
        <v>1326.6399999999999</v>
      </c>
      <c r="X698" s="137">
        <f t="shared" si="125"/>
        <v>1153.5999999999999</v>
      </c>
      <c r="Y698" s="137">
        <f t="shared" si="130"/>
        <v>173.03999999999996</v>
      </c>
      <c r="Z698" s="137">
        <v>1153.5999999999999</v>
      </c>
      <c r="AA698" s="137">
        <f t="shared" si="126"/>
        <v>-1153.5999999999999</v>
      </c>
      <c r="AB698" s="146">
        <f t="shared" si="135"/>
        <v>1003.1304347826087</v>
      </c>
      <c r="AC698" s="147">
        <f t="shared" si="127"/>
        <v>150.46956521739116</v>
      </c>
      <c r="AD698" s="137">
        <f t="shared" si="136"/>
        <v>1130.8479522067785</v>
      </c>
      <c r="AE698" s="138">
        <v>0.31559999999999999</v>
      </c>
      <c r="AF698" s="137">
        <f t="shared" si="137"/>
        <v>356.89561371645925</v>
      </c>
      <c r="AG698" s="137">
        <v>213.60659478260899</v>
      </c>
      <c r="AH698" s="154"/>
      <c r="AI698" s="154"/>
      <c r="AJ698" s="135" t="s">
        <v>659</v>
      </c>
      <c r="AK698" s="119" t="s">
        <v>659</v>
      </c>
      <c r="AM698" s="131"/>
    </row>
    <row r="699" spans="1:39" s="119" customFormat="1" ht="15" hidden="1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795</v>
      </c>
      <c r="G699" s="119" t="s">
        <v>795</v>
      </c>
      <c r="H699" s="119" t="s">
        <v>795</v>
      </c>
      <c r="I699" s="163" t="s">
        <v>202</v>
      </c>
      <c r="J699" s="119" t="s">
        <v>572</v>
      </c>
      <c r="K699" s="119" t="s">
        <v>573</v>
      </c>
      <c r="L699" s="119" t="s">
        <v>796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4"/>
        <v>442.32</v>
      </c>
      <c r="U699" s="137">
        <f t="shared" si="128"/>
        <v>9288.7199999999993</v>
      </c>
      <c r="V699" s="137">
        <v>10000</v>
      </c>
      <c r="W699" s="137">
        <f t="shared" si="129"/>
        <v>-711.28000000000065</v>
      </c>
      <c r="X699" s="137">
        <f t="shared" si="125"/>
        <v>-677.40952380952444</v>
      </c>
      <c r="Y699" s="137">
        <f t="shared" si="130"/>
        <v>-33.870476190476211</v>
      </c>
      <c r="Z699" s="137">
        <v>8846.4</v>
      </c>
      <c r="AA699" s="137">
        <f t="shared" si="126"/>
        <v>1153.6000000000004</v>
      </c>
      <c r="AB699" s="146">
        <f t="shared" si="135"/>
        <v>8425.1428571428569</v>
      </c>
      <c r="AC699" s="147">
        <f t="shared" si="127"/>
        <v>421.25714285714275</v>
      </c>
      <c r="AD699" s="137">
        <f t="shared" si="136"/>
        <v>8671.9255586009403</v>
      </c>
      <c r="AE699" s="138">
        <v>0.1077</v>
      </c>
      <c r="AF699" s="137">
        <f t="shared" si="137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hidden="1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572</v>
      </c>
      <c r="K700" s="119" t="s">
        <v>573</v>
      </c>
      <c r="L700" s="119" t="s">
        <v>797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4"/>
        <v>1916.4670000000001</v>
      </c>
      <c r="U700" s="137">
        <f t="shared" si="128"/>
        <v>29294.566999999999</v>
      </c>
      <c r="V700" s="137">
        <v>40000</v>
      </c>
      <c r="W700" s="137">
        <f t="shared" si="129"/>
        <v>-10705.433000000001</v>
      </c>
      <c r="X700" s="137">
        <f t="shared" si="125"/>
        <v>-10005.077570093457</v>
      </c>
      <c r="Y700" s="137">
        <f t="shared" si="130"/>
        <v>-700.35542990654358</v>
      </c>
      <c r="Z700" s="137">
        <v>28747</v>
      </c>
      <c r="AA700" s="137">
        <f t="shared" si="126"/>
        <v>11253</v>
      </c>
      <c r="AB700" s="146">
        <f t="shared" si="135"/>
        <v>26866.355140186915</v>
      </c>
      <c r="AC700" s="147">
        <f t="shared" si="127"/>
        <v>1880.6448598130846</v>
      </c>
      <c r="AD700" s="137">
        <f t="shared" si="136"/>
        <v>28180.03301151895</v>
      </c>
      <c r="AE700" s="138">
        <v>0.1077</v>
      </c>
      <c r="AF700" s="137">
        <f t="shared" si="137"/>
        <v>3034.9895553405909</v>
      </c>
      <c r="AG700" s="137">
        <v>1215.4070401869201</v>
      </c>
      <c r="AH700" s="154"/>
      <c r="AI700" s="154"/>
      <c r="AJ700" s="135" t="s">
        <v>506</v>
      </c>
      <c r="AK700" s="119" t="s">
        <v>506</v>
      </c>
      <c r="AM700" s="131"/>
    </row>
    <row r="701" spans="1:39" s="119" customFormat="1" ht="15" hidden="1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798</v>
      </c>
      <c r="G701" s="119" t="s">
        <v>798</v>
      </c>
      <c r="H701" s="119" t="s">
        <v>798</v>
      </c>
      <c r="I701" s="163" t="s">
        <v>202</v>
      </c>
      <c r="J701" s="119" t="s">
        <v>600</v>
      </c>
      <c r="K701" s="119" t="s">
        <v>636</v>
      </c>
      <c r="L701" s="119" t="s">
        <v>798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4"/>
        <v>200</v>
      </c>
      <c r="U701" s="137">
        <f t="shared" si="128"/>
        <v>10200</v>
      </c>
      <c r="V701" s="137">
        <v>10000</v>
      </c>
      <c r="W701" s="137">
        <f t="shared" si="129"/>
        <v>200</v>
      </c>
      <c r="X701" s="137">
        <f t="shared" si="125"/>
        <v>196.07843137254901</v>
      </c>
      <c r="Y701" s="137">
        <f t="shared" si="130"/>
        <v>3.9215686274509949</v>
      </c>
      <c r="Z701" s="137">
        <v>10000</v>
      </c>
      <c r="AA701" s="137">
        <f t="shared" si="126"/>
        <v>0</v>
      </c>
      <c r="AB701" s="146">
        <f t="shared" si="135"/>
        <v>9803.9215686274511</v>
      </c>
      <c r="AC701" s="147">
        <f t="shared" si="127"/>
        <v>196.07843137254895</v>
      </c>
      <c r="AD701" s="137">
        <v>10000</v>
      </c>
      <c r="AE701" s="138">
        <v>7.0000000000000007E-2</v>
      </c>
      <c r="AF701" s="137">
        <f t="shared" si="137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hidden="1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511</v>
      </c>
      <c r="G702" s="119" t="s">
        <v>799</v>
      </c>
      <c r="H702" s="119" t="s">
        <v>513</v>
      </c>
      <c r="I702" s="163" t="s">
        <v>202</v>
      </c>
      <c r="J702" s="119" t="s">
        <v>572</v>
      </c>
      <c r="K702" s="119" t="s">
        <v>573</v>
      </c>
      <c r="L702" s="119" t="s">
        <v>800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4"/>
        <v>13357.066799999999</v>
      </c>
      <c r="U702" s="137">
        <f t="shared" si="128"/>
        <v>458592.62679999997</v>
      </c>
      <c r="V702" s="137">
        <v>536221.44999999995</v>
      </c>
      <c r="W702" s="137">
        <f t="shared" si="129"/>
        <v>-77628.823199999984</v>
      </c>
      <c r="X702" s="137">
        <f t="shared" si="125"/>
        <v>-75367.78951456309</v>
      </c>
      <c r="Y702" s="137">
        <f t="shared" si="130"/>
        <v>-2261.0336854368943</v>
      </c>
      <c r="Z702" s="137">
        <v>360025.06</v>
      </c>
      <c r="AA702" s="137">
        <f t="shared" si="126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7"/>
        <v>23340.555145631079</v>
      </c>
      <c r="AD702" s="137">
        <f t="shared" ref="AD702:AD714" si="138">Z702*0.980277351080772</f>
        <v>352924.41213949601</v>
      </c>
      <c r="AE702" s="138">
        <v>0.1077</v>
      </c>
      <c r="AF702" s="137">
        <f t="shared" si="137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hidden="1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511</v>
      </c>
      <c r="G703" s="119" t="s">
        <v>799</v>
      </c>
      <c r="H703" s="119" t="s">
        <v>513</v>
      </c>
      <c r="I703" s="163" t="s">
        <v>202</v>
      </c>
      <c r="J703" s="119" t="s">
        <v>572</v>
      </c>
      <c r="K703" s="119" t="s">
        <v>573</v>
      </c>
      <c r="L703" s="119" t="s">
        <v>800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4"/>
        <v>16444.1178</v>
      </c>
      <c r="U703" s="137">
        <f t="shared" si="128"/>
        <v>199156.53780000002</v>
      </c>
      <c r="V703" s="137">
        <v>0</v>
      </c>
      <c r="W703" s="137">
        <f t="shared" si="129"/>
        <v>199156.53780000002</v>
      </c>
      <c r="X703" s="137">
        <f t="shared" si="125"/>
        <v>182712.42</v>
      </c>
      <c r="Y703" s="137">
        <f t="shared" si="130"/>
        <v>16444.117800000007</v>
      </c>
      <c r="Z703" s="137">
        <v>219584.71</v>
      </c>
      <c r="AA703" s="137">
        <f t="shared" si="126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7"/>
        <v>51709.122844036727</v>
      </c>
      <c r="AD703" s="137">
        <f t="shared" si="138"/>
        <v>215253.91785663948</v>
      </c>
      <c r="AE703" s="138">
        <v>0.31559999999999999</v>
      </c>
      <c r="AF703" s="137">
        <f t="shared" si="137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hidden="1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801</v>
      </c>
      <c r="G704" s="119" t="s">
        <v>802</v>
      </c>
      <c r="H704" s="119" t="s">
        <v>803</v>
      </c>
      <c r="I704" s="163" t="s">
        <v>202</v>
      </c>
      <c r="J704" s="119" t="s">
        <v>572</v>
      </c>
      <c r="K704" s="119" t="s">
        <v>573</v>
      </c>
      <c r="L704" s="119" t="s">
        <v>801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4"/>
        <v>2400</v>
      </c>
      <c r="U704" s="137">
        <f t="shared" si="128"/>
        <v>82400</v>
      </c>
      <c r="V704" s="137">
        <v>19380.7</v>
      </c>
      <c r="W704" s="137">
        <f t="shared" si="129"/>
        <v>63019.3</v>
      </c>
      <c r="X704" s="137">
        <f t="shared" si="125"/>
        <v>61183.786407766995</v>
      </c>
      <c r="Y704" s="137">
        <f t="shared" si="130"/>
        <v>1835.5135922330082</v>
      </c>
      <c r="Z704" s="137">
        <v>12473.4</v>
      </c>
      <c r="AA704" s="137">
        <f t="shared" si="126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7"/>
        <v>363.3029126213587</v>
      </c>
      <c r="AD704" s="137">
        <f t="shared" si="138"/>
        <v>12227.391510970901</v>
      </c>
      <c r="AE704" s="138">
        <v>0.1077</v>
      </c>
      <c r="AF704" s="137">
        <f t="shared" si="137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hidden="1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119" t="s">
        <v>801</v>
      </c>
      <c r="G705" s="119" t="s">
        <v>802</v>
      </c>
      <c r="H705" s="119" t="s">
        <v>803</v>
      </c>
      <c r="I705" s="163" t="s">
        <v>202</v>
      </c>
      <c r="J705" s="119" t="s">
        <v>572</v>
      </c>
      <c r="K705" s="119" t="s">
        <v>573</v>
      </c>
      <c r="L705" s="119" t="s">
        <v>801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4"/>
        <v>0</v>
      </c>
      <c r="U705" s="137">
        <f t="shared" si="128"/>
        <v>50000</v>
      </c>
      <c r="V705" s="137">
        <v>69354.84</v>
      </c>
      <c r="W705" s="137">
        <f t="shared" si="129"/>
        <v>-19354.839999999997</v>
      </c>
      <c r="X705" s="137">
        <f t="shared" si="125"/>
        <v>-19354.839999999997</v>
      </c>
      <c r="Y705" s="137">
        <f t="shared" si="130"/>
        <v>0</v>
      </c>
      <c r="Z705" s="137">
        <v>69354.84</v>
      </c>
      <c r="AA705" s="137">
        <f t="shared" si="126"/>
        <v>0</v>
      </c>
      <c r="AB705" s="146">
        <f>IF(O705="返货",Z705/(1+N705),IF(O705="返现",Z705,IF(O705="折扣",Z705*N705,IF(O705="无",Z705))))</f>
        <v>69354.84</v>
      </c>
      <c r="AC705" s="147">
        <f t="shared" si="127"/>
        <v>0</v>
      </c>
      <c r="AD705" s="137">
        <f t="shared" si="138"/>
        <v>67986.978839830757</v>
      </c>
      <c r="AE705" s="138">
        <v>0.1077</v>
      </c>
      <c r="AF705" s="137">
        <f t="shared" si="137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hidden="1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119" t="s">
        <v>387</v>
      </c>
      <c r="G706" s="119" t="s">
        <v>388</v>
      </c>
      <c r="H706" s="119" t="s">
        <v>389</v>
      </c>
      <c r="I706" s="163" t="s">
        <v>202</v>
      </c>
      <c r="J706" s="119" t="s">
        <v>572</v>
      </c>
      <c r="K706" s="119" t="s">
        <v>573</v>
      </c>
      <c r="L706" s="119" t="s">
        <v>804</v>
      </c>
      <c r="M706" s="119" t="s">
        <v>592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9">S706*N706</f>
        <v>0</v>
      </c>
      <c r="U706" s="137">
        <f t="shared" si="128"/>
        <v>81900</v>
      </c>
      <c r="V706" s="137">
        <v>81900</v>
      </c>
      <c r="W706" s="137">
        <f t="shared" si="129"/>
        <v>0</v>
      </c>
      <c r="X706" s="137">
        <f t="shared" ref="X706:X769" si="140">W706/(1+N706)</f>
        <v>0</v>
      </c>
      <c r="Y706" s="137">
        <f t="shared" si="130"/>
        <v>0</v>
      </c>
      <c r="Z706" s="137">
        <v>81900</v>
      </c>
      <c r="AA706" s="137">
        <f t="shared" ref="AA706:AA769" si="141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2">IF(O706="返现",Z706*N706,Z706-AB706)</f>
        <v>0</v>
      </c>
      <c r="AD706" s="137">
        <f t="shared" si="138"/>
        <v>80284.715053515218</v>
      </c>
      <c r="AE706" s="138">
        <v>0.35339999999999999</v>
      </c>
      <c r="AF706" s="137">
        <f t="shared" si="137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572</v>
      </c>
      <c r="K707" s="119" t="s">
        <v>573</v>
      </c>
      <c r="L707" s="119" t="s">
        <v>804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9"/>
        <v>145723.01789999998</v>
      </c>
      <c r="U707" s="137">
        <f t="shared" ref="U707:U770" si="143">R707+S707+T707</f>
        <v>5003156.9479</v>
      </c>
      <c r="V707" s="137">
        <v>5595569.1699999999</v>
      </c>
      <c r="W707" s="137">
        <f t="shared" ref="W707:W770" si="144">U707-V707</f>
        <v>-592412.2220999999</v>
      </c>
      <c r="X707" s="137">
        <f t="shared" si="140"/>
        <v>-575157.49718446587</v>
      </c>
      <c r="Y707" s="137">
        <f t="shared" ref="Y707:Y770" si="145">W707-X707</f>
        <v>-17254.724915534025</v>
      </c>
      <c r="Z707" s="137">
        <v>4919186.9800000004</v>
      </c>
      <c r="AA707" s="137">
        <f t="shared" si="141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2"/>
        <v>217063.61689320393</v>
      </c>
      <c r="AD707" s="137">
        <f t="shared" si="138"/>
        <v>4822167.5822254224</v>
      </c>
      <c r="AE707" s="138">
        <v>0.1077</v>
      </c>
      <c r="AF707" s="137">
        <f t="shared" si="137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hidden="1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572</v>
      </c>
      <c r="K708" s="119" t="s">
        <v>573</v>
      </c>
      <c r="L708" s="119" t="s">
        <v>804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9"/>
        <v>50432.044500000004</v>
      </c>
      <c r="U708" s="137">
        <f t="shared" si="143"/>
        <v>610788.09450000001</v>
      </c>
      <c r="V708" s="137">
        <v>0</v>
      </c>
      <c r="W708" s="137">
        <f t="shared" si="144"/>
        <v>610788.09450000001</v>
      </c>
      <c r="X708" s="137">
        <f t="shared" si="140"/>
        <v>560356.04999999993</v>
      </c>
      <c r="Y708" s="137">
        <f t="shared" si="145"/>
        <v>50432.044500000076</v>
      </c>
      <c r="Z708" s="137">
        <v>573004.94999999995</v>
      </c>
      <c r="AA708" s="137">
        <f t="shared" si="141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2"/>
        <v>73719.600495412829</v>
      </c>
      <c r="AD708" s="137">
        <f t="shared" si="138"/>
        <v>561703.77454217011</v>
      </c>
      <c r="AE708" s="138">
        <v>0.31559999999999999</v>
      </c>
      <c r="AF708" s="137">
        <f t="shared" si="137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hidden="1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119" t="s">
        <v>387</v>
      </c>
      <c r="G709" s="119" t="s">
        <v>388</v>
      </c>
      <c r="H709" s="119" t="s">
        <v>389</v>
      </c>
      <c r="I709" s="163" t="s">
        <v>202</v>
      </c>
      <c r="J709" s="119" t="s">
        <v>572</v>
      </c>
      <c r="K709" s="119" t="s">
        <v>573</v>
      </c>
      <c r="L709" s="119" t="s">
        <v>804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9"/>
        <v>0</v>
      </c>
      <c r="U709" s="137">
        <f t="shared" si="143"/>
        <v>269354.84000000003</v>
      </c>
      <c r="V709" s="137">
        <v>266129.03000000003</v>
      </c>
      <c r="W709" s="137">
        <f t="shared" si="144"/>
        <v>3225.8099999999977</v>
      </c>
      <c r="X709" s="137">
        <f t="shared" si="140"/>
        <v>3225.8099999999977</v>
      </c>
      <c r="Y709" s="137">
        <f t="shared" si="145"/>
        <v>0</v>
      </c>
      <c r="Z709" s="137">
        <v>266129.03000000003</v>
      </c>
      <c r="AA709" s="137">
        <f t="shared" si="141"/>
        <v>0</v>
      </c>
      <c r="AB709" s="146">
        <f>IF(O709="返货",Z709/(1+N709),IF(O709="返现",Z709,IF(O709="折扣",Z709*N709,IF(O709="无",Z709))))</f>
        <v>266129.03000000003</v>
      </c>
      <c r="AC709" s="147">
        <f t="shared" si="142"/>
        <v>0</v>
      </c>
      <c r="AD709" s="137">
        <f t="shared" si="138"/>
        <v>260880.26057409533</v>
      </c>
      <c r="AE709" s="138">
        <v>0.1077</v>
      </c>
      <c r="AF709" s="137">
        <f t="shared" si="137"/>
        <v>28096.804063830066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hidden="1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572</v>
      </c>
      <c r="K710" s="119" t="s">
        <v>573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9"/>
        <v>202298.5398</v>
      </c>
      <c r="U710" s="137">
        <f t="shared" si="143"/>
        <v>10317225.5298</v>
      </c>
      <c r="V710" s="137">
        <v>11520483.859999999</v>
      </c>
      <c r="W710" s="137">
        <f t="shared" si="144"/>
        <v>-1203258.3301999997</v>
      </c>
      <c r="X710" s="137">
        <f t="shared" si="140"/>
        <v>-1179665.0296078429</v>
      </c>
      <c r="Y710" s="137">
        <f t="shared" si="145"/>
        <v>-23593.300592156826</v>
      </c>
      <c r="Z710" s="137">
        <v>10185410.85</v>
      </c>
      <c r="AA710" s="137">
        <f t="shared" si="141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2"/>
        <v>199713.93823529407</v>
      </c>
      <c r="AD710" s="137">
        <f t="shared" si="138"/>
        <v>9984527.5677073542</v>
      </c>
      <c r="AE710" s="138">
        <v>0.1077</v>
      </c>
      <c r="AF710" s="137">
        <f t="shared" si="137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hidden="1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572</v>
      </c>
      <c r="K711" s="119" t="s">
        <v>573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9"/>
        <v>77263.960800000001</v>
      </c>
      <c r="U711" s="137">
        <f t="shared" si="143"/>
        <v>1043063.4708</v>
      </c>
      <c r="V711" s="137">
        <v>0</v>
      </c>
      <c r="W711" s="137">
        <f t="shared" si="144"/>
        <v>1043063.4708</v>
      </c>
      <c r="X711" s="137">
        <f t="shared" si="140"/>
        <v>965799.50999999989</v>
      </c>
      <c r="Y711" s="137">
        <f t="shared" si="145"/>
        <v>77263.960800000117</v>
      </c>
      <c r="Z711" s="137">
        <v>965799.51</v>
      </c>
      <c r="AA711" s="137">
        <f t="shared" si="141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2"/>
        <v>71540.704444444505</v>
      </c>
      <c r="AD711" s="137">
        <f t="shared" si="138"/>
        <v>946751.38533790759</v>
      </c>
      <c r="AE711" s="138">
        <v>0.31559999999999999</v>
      </c>
      <c r="AF711" s="137">
        <f t="shared" si="137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hidden="1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632</v>
      </c>
      <c r="G712" s="119" t="s">
        <v>632</v>
      </c>
      <c r="H712" s="119" t="s">
        <v>632</v>
      </c>
      <c r="I712" s="163" t="s">
        <v>202</v>
      </c>
      <c r="J712" s="119" t="s">
        <v>572</v>
      </c>
      <c r="K712" s="119" t="s">
        <v>573</v>
      </c>
      <c r="L712" s="119" t="s">
        <v>632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9"/>
        <v>2831.1406000000002</v>
      </c>
      <c r="U712" s="137">
        <f t="shared" si="143"/>
        <v>144388.17060000001</v>
      </c>
      <c r="V712" s="137">
        <v>250000</v>
      </c>
      <c r="W712" s="137">
        <f t="shared" si="144"/>
        <v>-105611.82939999999</v>
      </c>
      <c r="X712" s="137">
        <f t="shared" si="140"/>
        <v>-103541.00921568627</v>
      </c>
      <c r="Y712" s="137">
        <f t="shared" si="145"/>
        <v>-2070.8201843137213</v>
      </c>
      <c r="Z712" s="137">
        <v>129057.03</v>
      </c>
      <c r="AA712" s="137">
        <f t="shared" si="141"/>
        <v>120942.97</v>
      </c>
      <c r="AB712" s="146">
        <f>Z712/(1+N712)*(1+5%)</f>
        <v>132852.82500000001</v>
      </c>
      <c r="AC712" s="147">
        <f t="shared" si="142"/>
        <v>-3795.7950000000128</v>
      </c>
      <c r="AD712" s="137">
        <f t="shared" si="138"/>
        <v>126511.68350675172</v>
      </c>
      <c r="AE712" s="138">
        <v>0.1077</v>
      </c>
      <c r="AF712" s="137">
        <f t="shared" si="137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hidden="1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632</v>
      </c>
      <c r="G713" s="119" t="s">
        <v>632</v>
      </c>
      <c r="H713" s="119" t="s">
        <v>632</v>
      </c>
      <c r="I713" s="163" t="s">
        <v>202</v>
      </c>
      <c r="J713" s="119" t="s">
        <v>572</v>
      </c>
      <c r="K713" s="119" t="s">
        <v>573</v>
      </c>
      <c r="L713" s="119" t="s">
        <v>805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9"/>
        <v>9675.4376000000011</v>
      </c>
      <c r="U713" s="137">
        <f t="shared" si="143"/>
        <v>130618.40760000001</v>
      </c>
      <c r="V713" s="137">
        <v>0</v>
      </c>
      <c r="W713" s="137">
        <f t="shared" si="144"/>
        <v>130618.40760000001</v>
      </c>
      <c r="X713" s="137">
        <f t="shared" si="140"/>
        <v>120942.97</v>
      </c>
      <c r="Y713" s="137">
        <f t="shared" si="145"/>
        <v>9675.4376000000047</v>
      </c>
      <c r="Z713" s="137">
        <v>120942.97</v>
      </c>
      <c r="AA713" s="137">
        <f t="shared" si="141"/>
        <v>-120942.97</v>
      </c>
      <c r="AB713" s="146">
        <f>Z713/(1+N713)*(1+5%)</f>
        <v>117583.44305555556</v>
      </c>
      <c r="AC713" s="147">
        <f t="shared" si="142"/>
        <v>3359.5269444444421</v>
      </c>
      <c r="AD713" s="137">
        <f t="shared" si="138"/>
        <v>118557.65426344128</v>
      </c>
      <c r="AE713" s="138">
        <v>0.31559999999999999</v>
      </c>
      <c r="AF713" s="137">
        <f t="shared" si="137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hidden="1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806</v>
      </c>
      <c r="F714" s="119" t="s">
        <v>807</v>
      </c>
      <c r="G714" s="119" t="s">
        <v>807</v>
      </c>
      <c r="H714" s="119" t="s">
        <v>807</v>
      </c>
      <c r="I714" s="163" t="s">
        <v>202</v>
      </c>
      <c r="J714" s="119" t="s">
        <v>572</v>
      </c>
      <c r="K714" s="119" t="s">
        <v>573</v>
      </c>
      <c r="L714" s="119" t="s">
        <v>807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9"/>
        <v>146.09799999999998</v>
      </c>
      <c r="U714" s="137">
        <f t="shared" si="143"/>
        <v>7450.9979999999996</v>
      </c>
      <c r="V714" s="137">
        <v>10000</v>
      </c>
      <c r="W714" s="137">
        <f t="shared" si="144"/>
        <v>-2549.0020000000004</v>
      </c>
      <c r="X714" s="137">
        <f t="shared" si="140"/>
        <v>-2499.0215686274514</v>
      </c>
      <c r="Y714" s="137">
        <f t="shared" si="145"/>
        <v>-49.980431372548992</v>
      </c>
      <c r="Z714" s="137">
        <v>7304.9</v>
      </c>
      <c r="AA714" s="137">
        <f t="shared" si="141"/>
        <v>2695.1000000000004</v>
      </c>
      <c r="AB714" s="146">
        <f t="shared" ref="AB714:AB724" si="146">IF(O714="返货",Z714/(1+N714),IF(O714="返现",Z714,IF(O714="折扣",Z714*N714,IF(O714="无",Z714))))</f>
        <v>7161.6666666666661</v>
      </c>
      <c r="AC714" s="147">
        <f t="shared" si="142"/>
        <v>143.23333333333358</v>
      </c>
      <c r="AD714" s="137">
        <f t="shared" si="138"/>
        <v>7160.8280219099306</v>
      </c>
      <c r="AE714" s="138">
        <v>0.1077</v>
      </c>
      <c r="AF714" s="137">
        <f t="shared" si="137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hidden="1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808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9"/>
        <v>24000</v>
      </c>
      <c r="U715" s="137">
        <f t="shared" si="143"/>
        <v>1224000</v>
      </c>
      <c r="V715" s="137">
        <v>800000</v>
      </c>
      <c r="W715" s="137">
        <f t="shared" si="144"/>
        <v>424000</v>
      </c>
      <c r="X715" s="137">
        <f t="shared" si="140"/>
        <v>415686.27450980392</v>
      </c>
      <c r="Y715" s="137">
        <f t="shared" si="145"/>
        <v>8313.7254901960841</v>
      </c>
      <c r="Z715" s="137">
        <v>209813.42</v>
      </c>
      <c r="AA715" s="137">
        <f t="shared" si="141"/>
        <v>590186.57999999996</v>
      </c>
      <c r="AB715" s="146">
        <f t="shared" si="146"/>
        <v>205699.43137254904</v>
      </c>
      <c r="AC715" s="147">
        <f t="shared" si="142"/>
        <v>4113.9886274509772</v>
      </c>
      <c r="AD715" s="137">
        <v>209813.42</v>
      </c>
      <c r="AE715" s="138">
        <v>7.0000000000000007E-2</v>
      </c>
      <c r="AF715" s="137">
        <f t="shared" si="137"/>
        <v>14686.939400000003</v>
      </c>
      <c r="AG715" s="137">
        <v>10572.950772549</v>
      </c>
      <c r="AH715" s="154"/>
      <c r="AI715" s="154"/>
      <c r="AJ715" s="135" t="s">
        <v>809</v>
      </c>
      <c r="AK715" s="119" t="s">
        <v>809</v>
      </c>
      <c r="AM715" s="131"/>
    </row>
    <row r="716" spans="1:39" s="119" customFormat="1" ht="15" hidden="1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810</v>
      </c>
      <c r="G716" s="119" t="s">
        <v>810</v>
      </c>
      <c r="H716" s="119" t="s">
        <v>810</v>
      </c>
      <c r="I716" s="163" t="s">
        <v>202</v>
      </c>
      <c r="J716" s="119" t="s">
        <v>572</v>
      </c>
      <c r="K716" s="119" t="s">
        <v>573</v>
      </c>
      <c r="L716" s="119" t="s">
        <v>810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9"/>
        <v>645.11260000000004</v>
      </c>
      <c r="U716" s="137">
        <f t="shared" si="143"/>
        <v>32900.742599999998</v>
      </c>
      <c r="V716" s="137">
        <v>0</v>
      </c>
      <c r="W716" s="137">
        <f t="shared" si="144"/>
        <v>32900.742599999998</v>
      </c>
      <c r="X716" s="137">
        <f t="shared" si="140"/>
        <v>32255.629999999997</v>
      </c>
      <c r="Y716" s="137">
        <f t="shared" si="145"/>
        <v>645.11260000000038</v>
      </c>
      <c r="Z716" s="137">
        <v>33206.74</v>
      </c>
      <c r="AA716" s="137">
        <f t="shared" si="141"/>
        <v>-33206.74</v>
      </c>
      <c r="AB716" s="146">
        <f t="shared" si="146"/>
        <v>32555.627450980388</v>
      </c>
      <c r="AC716" s="147">
        <f t="shared" si="142"/>
        <v>651.11254901961001</v>
      </c>
      <c r="AD716" s="137">
        <f t="shared" ref="AD716:AD726" si="147">Z716*0.980277351080772</f>
        <v>32551.815125227913</v>
      </c>
      <c r="AE716" s="138">
        <v>0.31559999999999999</v>
      </c>
      <c r="AF716" s="137">
        <f t="shared" si="137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hidden="1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810</v>
      </c>
      <c r="G717" s="119" t="s">
        <v>810</v>
      </c>
      <c r="H717" s="119" t="s">
        <v>810</v>
      </c>
      <c r="I717" s="163" t="s">
        <v>202</v>
      </c>
      <c r="J717" s="119" t="s">
        <v>572</v>
      </c>
      <c r="K717" s="119" t="s">
        <v>573</v>
      </c>
      <c r="L717" s="119" t="s">
        <v>810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9"/>
        <v>382.96280000000002</v>
      </c>
      <c r="U717" s="137">
        <f t="shared" si="143"/>
        <v>19531.102800000001</v>
      </c>
      <c r="V717" s="137">
        <v>61200</v>
      </c>
      <c r="W717" s="137">
        <f t="shared" si="144"/>
        <v>-41668.897199999999</v>
      </c>
      <c r="X717" s="137">
        <f t="shared" si="140"/>
        <v>-40851.86</v>
      </c>
      <c r="Y717" s="137">
        <f t="shared" si="145"/>
        <v>-817.03719999999885</v>
      </c>
      <c r="Z717" s="137">
        <v>19531.099999999999</v>
      </c>
      <c r="AA717" s="137">
        <f t="shared" si="141"/>
        <v>41668.9</v>
      </c>
      <c r="AB717" s="146">
        <f t="shared" si="146"/>
        <v>19148.137254901958</v>
      </c>
      <c r="AC717" s="147">
        <f t="shared" si="142"/>
        <v>382.96274509804061</v>
      </c>
      <c r="AD717" s="137">
        <f t="shared" si="147"/>
        <v>19145.894971693662</v>
      </c>
      <c r="AE717" s="138">
        <v>0.1077</v>
      </c>
      <c r="AF717" s="137">
        <f t="shared" si="137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hidden="1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811</v>
      </c>
      <c r="G718" s="119" t="s">
        <v>812</v>
      </c>
      <c r="H718" s="119" t="s">
        <v>812</v>
      </c>
      <c r="I718" s="163" t="s">
        <v>202</v>
      </c>
      <c r="J718" s="119" t="s">
        <v>572</v>
      </c>
      <c r="K718" s="119" t="s">
        <v>573</v>
      </c>
      <c r="L718" s="119" t="s">
        <v>811</v>
      </c>
      <c r="M718" s="119" t="s">
        <v>45</v>
      </c>
      <c r="N718" s="136">
        <v>0.02</v>
      </c>
      <c r="O718" s="135" t="s">
        <v>492</v>
      </c>
      <c r="P718" s="135"/>
      <c r="Q718" s="137">
        <v>0</v>
      </c>
      <c r="R718" s="137">
        <v>0</v>
      </c>
      <c r="S718" s="137">
        <v>30000</v>
      </c>
      <c r="T718" s="137">
        <f t="shared" si="139"/>
        <v>600</v>
      </c>
      <c r="U718" s="137">
        <f t="shared" si="143"/>
        <v>30600</v>
      </c>
      <c r="V718" s="137">
        <v>30000</v>
      </c>
      <c r="W718" s="137">
        <f t="shared" si="144"/>
        <v>600</v>
      </c>
      <c r="X718" s="137">
        <f t="shared" si="140"/>
        <v>588.23529411764707</v>
      </c>
      <c r="Y718" s="137">
        <f t="shared" si="145"/>
        <v>11.764705882352928</v>
      </c>
      <c r="Z718" s="137">
        <v>0</v>
      </c>
      <c r="AA718" s="137">
        <f t="shared" si="141"/>
        <v>30000</v>
      </c>
      <c r="AB718" s="146">
        <f t="shared" si="146"/>
        <v>0</v>
      </c>
      <c r="AC718" s="147">
        <f t="shared" si="142"/>
        <v>0</v>
      </c>
      <c r="AD718" s="137">
        <f t="shared" si="147"/>
        <v>0</v>
      </c>
      <c r="AE718" s="138">
        <v>0.1077</v>
      </c>
      <c r="AF718" s="137">
        <f t="shared" si="137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119" t="s">
        <v>813</v>
      </c>
      <c r="G719" s="119" t="s">
        <v>814</v>
      </c>
      <c r="H719" s="119" t="s">
        <v>814</v>
      </c>
      <c r="I719" s="163" t="s">
        <v>202</v>
      </c>
      <c r="J719" s="119" t="s">
        <v>572</v>
      </c>
      <c r="K719" s="119" t="s">
        <v>573</v>
      </c>
      <c r="L719" s="119" t="s">
        <v>815</v>
      </c>
      <c r="M719" s="119" t="s">
        <v>158</v>
      </c>
      <c r="N719" s="136">
        <v>0.05</v>
      </c>
      <c r="O719" s="135" t="s">
        <v>492</v>
      </c>
      <c r="P719" s="135"/>
      <c r="Q719" s="137">
        <v>0</v>
      </c>
      <c r="R719" s="137">
        <v>0</v>
      </c>
      <c r="S719" s="137">
        <v>200000</v>
      </c>
      <c r="T719" s="137">
        <f t="shared" si="139"/>
        <v>10000</v>
      </c>
      <c r="U719" s="137">
        <f t="shared" si="143"/>
        <v>210000</v>
      </c>
      <c r="V719" s="137">
        <v>305000</v>
      </c>
      <c r="W719" s="137">
        <f t="shared" si="144"/>
        <v>-95000</v>
      </c>
      <c r="X719" s="137">
        <f t="shared" si="140"/>
        <v>-90476.190476190473</v>
      </c>
      <c r="Y719" s="137">
        <f t="shared" si="145"/>
        <v>-4523.8095238095266</v>
      </c>
      <c r="Z719" s="137">
        <v>305000</v>
      </c>
      <c r="AA719" s="137">
        <f t="shared" si="141"/>
        <v>0</v>
      </c>
      <c r="AB719" s="146">
        <f t="shared" si="146"/>
        <v>305000</v>
      </c>
      <c r="AC719" s="147">
        <f t="shared" si="142"/>
        <v>15250</v>
      </c>
      <c r="AD719" s="137">
        <f t="shared" si="147"/>
        <v>298984.59207963548</v>
      </c>
      <c r="AE719" s="138">
        <v>0.1077</v>
      </c>
      <c r="AF719" s="137">
        <f t="shared" si="137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hidden="1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813</v>
      </c>
      <c r="G720" s="119" t="s">
        <v>814</v>
      </c>
      <c r="H720" s="119" t="s">
        <v>814</v>
      </c>
      <c r="I720" s="163" t="s">
        <v>202</v>
      </c>
      <c r="J720" s="119" t="s">
        <v>572</v>
      </c>
      <c r="K720" s="119" t="s">
        <v>573</v>
      </c>
      <c r="L720" s="119" t="s">
        <v>815</v>
      </c>
      <c r="M720" s="119" t="s">
        <v>183</v>
      </c>
      <c r="N720" s="136">
        <v>0.15</v>
      </c>
      <c r="O720" s="135" t="s">
        <v>492</v>
      </c>
      <c r="P720" s="135"/>
      <c r="Q720" s="137">
        <v>0</v>
      </c>
      <c r="R720" s="137">
        <v>0</v>
      </c>
      <c r="S720" s="137">
        <v>275759.5</v>
      </c>
      <c r="T720" s="137">
        <f t="shared" si="139"/>
        <v>41363.924999999996</v>
      </c>
      <c r="U720" s="137">
        <f t="shared" si="143"/>
        <v>317123.42499999999</v>
      </c>
      <c r="V720" s="137">
        <v>0</v>
      </c>
      <c r="W720" s="137">
        <f t="shared" si="144"/>
        <v>317123.42499999999</v>
      </c>
      <c r="X720" s="137">
        <f t="shared" si="140"/>
        <v>275759.5</v>
      </c>
      <c r="Y720" s="137">
        <f t="shared" si="145"/>
        <v>41363.924999999988</v>
      </c>
      <c r="Z720" s="137">
        <v>275759.5</v>
      </c>
      <c r="AA720" s="137">
        <f t="shared" si="141"/>
        <v>-275759.5</v>
      </c>
      <c r="AB720" s="146">
        <f t="shared" si="146"/>
        <v>275759.5</v>
      </c>
      <c r="AC720" s="147">
        <f t="shared" si="142"/>
        <v>41363.924999999996</v>
      </c>
      <c r="AD720" s="137">
        <f t="shared" si="147"/>
        <v>270320.79219535814</v>
      </c>
      <c r="AE720" s="138">
        <v>0.31559999999999999</v>
      </c>
      <c r="AF720" s="137">
        <f t="shared" si="137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813</v>
      </c>
      <c r="G721" s="119" t="s">
        <v>814</v>
      </c>
      <c r="H721" s="119" t="s">
        <v>814</v>
      </c>
      <c r="I721" s="163" t="s">
        <v>202</v>
      </c>
      <c r="J721" s="119" t="s">
        <v>572</v>
      </c>
      <c r="K721" s="119" t="s">
        <v>573</v>
      </c>
      <c r="L721" s="119" t="s">
        <v>815</v>
      </c>
      <c r="M721" s="119" t="s">
        <v>45</v>
      </c>
      <c r="N721" s="136">
        <v>0.05</v>
      </c>
      <c r="O721" s="135" t="s">
        <v>492</v>
      </c>
      <c r="P721" s="135"/>
      <c r="Q721" s="137">
        <v>0</v>
      </c>
      <c r="R721" s="137">
        <v>0</v>
      </c>
      <c r="S721" s="137">
        <v>2263240.5</v>
      </c>
      <c r="T721" s="137">
        <f t="shared" si="139"/>
        <v>113162.02500000001</v>
      </c>
      <c r="U721" s="137">
        <f t="shared" si="143"/>
        <v>2376402.5249999999</v>
      </c>
      <c r="V721" s="137">
        <v>2539000</v>
      </c>
      <c r="W721" s="137">
        <f t="shared" si="144"/>
        <v>-162597.47500000009</v>
      </c>
      <c r="X721" s="137">
        <f t="shared" si="140"/>
        <v>-154854.73809523816</v>
      </c>
      <c r="Y721" s="137">
        <f t="shared" si="145"/>
        <v>-7742.7369047619286</v>
      </c>
      <c r="Z721" s="137">
        <v>2358814.0099999998</v>
      </c>
      <c r="AA721" s="137">
        <f t="shared" si="141"/>
        <v>180185.99000000022</v>
      </c>
      <c r="AB721" s="146">
        <f t="shared" si="146"/>
        <v>2358814.0099999998</v>
      </c>
      <c r="AC721" s="147">
        <f t="shared" si="142"/>
        <v>117940.70049999999</v>
      </c>
      <c r="AD721" s="137">
        <f t="shared" si="147"/>
        <v>2312291.9494150132</v>
      </c>
      <c r="AE721" s="138">
        <v>0.1077</v>
      </c>
      <c r="AF721" s="137">
        <f t="shared" si="137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119" t="s">
        <v>813</v>
      </c>
      <c r="G722" s="119" t="s">
        <v>814</v>
      </c>
      <c r="H722" s="119" t="s">
        <v>814</v>
      </c>
      <c r="I722" s="163" t="s">
        <v>202</v>
      </c>
      <c r="J722" s="119" t="s">
        <v>572</v>
      </c>
      <c r="K722" s="119" t="s">
        <v>573</v>
      </c>
      <c r="L722" s="119" t="s">
        <v>815</v>
      </c>
      <c r="M722" s="119" t="s">
        <v>592</v>
      </c>
      <c r="N722" s="136">
        <v>0.05</v>
      </c>
      <c r="O722" s="135" t="s">
        <v>492</v>
      </c>
      <c r="P722" s="135"/>
      <c r="Q722" s="137">
        <v>0</v>
      </c>
      <c r="R722" s="137">
        <v>0</v>
      </c>
      <c r="S722" s="137">
        <v>161000</v>
      </c>
      <c r="T722" s="137">
        <f t="shared" si="139"/>
        <v>8050</v>
      </c>
      <c r="U722" s="137">
        <f t="shared" si="143"/>
        <v>169050</v>
      </c>
      <c r="V722" s="137">
        <v>56000</v>
      </c>
      <c r="W722" s="137">
        <f t="shared" si="144"/>
        <v>113050</v>
      </c>
      <c r="X722" s="137">
        <f t="shared" si="140"/>
        <v>107666.66666666666</v>
      </c>
      <c r="Y722" s="137">
        <f t="shared" si="145"/>
        <v>5383.333333333343</v>
      </c>
      <c r="Z722" s="137">
        <v>56000</v>
      </c>
      <c r="AA722" s="137">
        <f t="shared" si="141"/>
        <v>0</v>
      </c>
      <c r="AB722" s="146">
        <f t="shared" si="146"/>
        <v>56000</v>
      </c>
      <c r="AC722" s="147">
        <f t="shared" si="142"/>
        <v>2800</v>
      </c>
      <c r="AD722" s="137">
        <f t="shared" si="147"/>
        <v>54895.531660523229</v>
      </c>
      <c r="AE722" s="138">
        <v>0.35339999999999999</v>
      </c>
      <c r="AF722" s="137">
        <f t="shared" si="137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816</v>
      </c>
      <c r="F723" s="119" t="s">
        <v>393</v>
      </c>
      <c r="G723" s="119" t="s">
        <v>817</v>
      </c>
      <c r="H723" s="119" t="s">
        <v>817</v>
      </c>
      <c r="I723" s="163" t="s">
        <v>202</v>
      </c>
      <c r="J723" s="119" t="s">
        <v>572</v>
      </c>
      <c r="K723" s="119" t="s">
        <v>573</v>
      </c>
      <c r="L723" s="119" t="s">
        <v>818</v>
      </c>
      <c r="M723" s="119" t="s">
        <v>45</v>
      </c>
      <c r="N723" s="136">
        <v>0.02</v>
      </c>
      <c r="O723" s="135" t="s">
        <v>492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9"/>
        <v>50128.081399999995</v>
      </c>
      <c r="U723" s="137">
        <f t="shared" si="143"/>
        <v>2556532.1513999999</v>
      </c>
      <c r="V723" s="137">
        <v>5396393.1600000001</v>
      </c>
      <c r="W723" s="137">
        <f t="shared" si="144"/>
        <v>-2839861.0086000003</v>
      </c>
      <c r="X723" s="137">
        <f t="shared" si="140"/>
        <v>-2784177.459411765</v>
      </c>
      <c r="Y723" s="137">
        <f t="shared" si="145"/>
        <v>-55683.549188235309</v>
      </c>
      <c r="Z723" s="137">
        <v>2558397.2999999998</v>
      </c>
      <c r="AA723" s="137">
        <f t="shared" si="141"/>
        <v>2837995.8600000003</v>
      </c>
      <c r="AB723" s="146">
        <f t="shared" si="146"/>
        <v>2558397.2999999998</v>
      </c>
      <c r="AC723" s="147">
        <f t="shared" si="142"/>
        <v>51167.945999999996</v>
      </c>
      <c r="AD723" s="137">
        <f t="shared" si="147"/>
        <v>2507938.9282561988</v>
      </c>
      <c r="AE723" s="138">
        <v>0.1077</v>
      </c>
      <c r="AF723" s="137">
        <f t="shared" si="137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816</v>
      </c>
      <c r="F724" s="119" t="s">
        <v>393</v>
      </c>
      <c r="G724" s="119" t="s">
        <v>817</v>
      </c>
      <c r="H724" s="119" t="s">
        <v>817</v>
      </c>
      <c r="I724" s="163" t="s">
        <v>202</v>
      </c>
      <c r="J724" s="119" t="s">
        <v>572</v>
      </c>
      <c r="K724" s="119" t="s">
        <v>573</v>
      </c>
      <c r="L724" s="119" t="s">
        <v>818</v>
      </c>
      <c r="M724" s="119" t="s">
        <v>183</v>
      </c>
      <c r="N724" s="136">
        <v>0.08</v>
      </c>
      <c r="O724" s="135" t="s">
        <v>492</v>
      </c>
      <c r="P724" s="135"/>
      <c r="Q724" s="137">
        <v>0</v>
      </c>
      <c r="R724" s="137">
        <v>0</v>
      </c>
      <c r="S724" s="137">
        <v>2837995.86</v>
      </c>
      <c r="T724" s="137">
        <f t="shared" si="139"/>
        <v>227039.66879999998</v>
      </c>
      <c r="U724" s="137">
        <f t="shared" si="143"/>
        <v>3065035.5288</v>
      </c>
      <c r="V724" s="137">
        <v>0</v>
      </c>
      <c r="W724" s="137">
        <f t="shared" si="144"/>
        <v>3065035.5288</v>
      </c>
      <c r="X724" s="137">
        <f t="shared" si="140"/>
        <v>2837995.86</v>
      </c>
      <c r="Y724" s="137">
        <f t="shared" si="145"/>
        <v>227039.6688000001</v>
      </c>
      <c r="Z724" s="137">
        <v>2837995.86</v>
      </c>
      <c r="AA724" s="137">
        <f t="shared" si="141"/>
        <v>-2837995.86</v>
      </c>
      <c r="AB724" s="146">
        <f t="shared" si="146"/>
        <v>2837995.86</v>
      </c>
      <c r="AC724" s="147">
        <f t="shared" si="142"/>
        <v>227039.66879999998</v>
      </c>
      <c r="AD724" s="137">
        <f t="shared" si="147"/>
        <v>2782023.0640189974</v>
      </c>
      <c r="AE724" s="138">
        <v>0.31559999999999999</v>
      </c>
      <c r="AF724" s="137">
        <f t="shared" si="137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816</v>
      </c>
      <c r="F725" s="119" t="s">
        <v>819</v>
      </c>
      <c r="G725" s="119" t="s">
        <v>819</v>
      </c>
      <c r="H725" s="119" t="s">
        <v>819</v>
      </c>
      <c r="I725" s="163" t="s">
        <v>202</v>
      </c>
      <c r="J725" s="119" t="s">
        <v>572</v>
      </c>
      <c r="K725" s="119" t="s">
        <v>573</v>
      </c>
      <c r="L725" s="119" t="s">
        <v>820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9"/>
        <v>89166.070800000001</v>
      </c>
      <c r="U725" s="137">
        <f t="shared" si="143"/>
        <v>4547469.6107999999</v>
      </c>
      <c r="V725" s="137">
        <v>5249691.13</v>
      </c>
      <c r="W725" s="137">
        <f t="shared" si="144"/>
        <v>-702221.51919999998</v>
      </c>
      <c r="X725" s="137">
        <f t="shared" si="140"/>
        <v>-688452.46980392153</v>
      </c>
      <c r="Y725" s="137">
        <f t="shared" si="145"/>
        <v>-13769.049396078452</v>
      </c>
      <c r="Z725" s="137">
        <v>4819479.3600000003</v>
      </c>
      <c r="AA725" s="137">
        <f t="shared" si="141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2"/>
        <v>229022.92862745095</v>
      </c>
      <c r="AD725" s="137">
        <f t="shared" si="147"/>
        <v>4724426.4606092544</v>
      </c>
      <c r="AE725" s="138">
        <v>0.1077</v>
      </c>
      <c r="AF725" s="137">
        <f t="shared" si="137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608</v>
      </c>
      <c r="AM725" s="131"/>
    </row>
    <row r="726" spans="1:39" s="119" customFormat="1" ht="15" hidden="1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816</v>
      </c>
      <c r="F726" s="119" t="s">
        <v>819</v>
      </c>
      <c r="G726" s="119" t="s">
        <v>819</v>
      </c>
      <c r="H726" s="119" t="s">
        <v>819</v>
      </c>
      <c r="I726" s="163" t="s">
        <v>202</v>
      </c>
      <c r="J726" s="119" t="s">
        <v>572</v>
      </c>
      <c r="K726" s="119" t="s">
        <v>573</v>
      </c>
      <c r="L726" s="119" t="s">
        <v>820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9"/>
        <v>45394.045599999998</v>
      </c>
      <c r="U726" s="137">
        <f t="shared" si="143"/>
        <v>612819.6155999999</v>
      </c>
      <c r="V726" s="137">
        <v>0</v>
      </c>
      <c r="W726" s="137">
        <f t="shared" si="144"/>
        <v>612819.6155999999</v>
      </c>
      <c r="X726" s="137">
        <f t="shared" si="140"/>
        <v>567425.56999999983</v>
      </c>
      <c r="Y726" s="137">
        <f t="shared" si="145"/>
        <v>45394.04560000007</v>
      </c>
      <c r="Z726" s="137">
        <v>714540.59</v>
      </c>
      <c r="AA726" s="137">
        <f t="shared" si="141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2"/>
        <v>189146.54466666677</v>
      </c>
      <c r="AD726" s="137">
        <f t="shared" si="147"/>
        <v>700447.95680489193</v>
      </c>
      <c r="AE726" s="138">
        <v>0.31559999999999999</v>
      </c>
      <c r="AF726" s="137">
        <f t="shared" si="137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hidden="1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816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600</v>
      </c>
      <c r="K727" s="119" t="s">
        <v>615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9"/>
        <v>1000</v>
      </c>
      <c r="U727" s="137">
        <f t="shared" si="143"/>
        <v>51000</v>
      </c>
      <c r="V727" s="137">
        <v>450000</v>
      </c>
      <c r="W727" s="137">
        <f t="shared" si="144"/>
        <v>-399000</v>
      </c>
      <c r="X727" s="137">
        <f t="shared" si="140"/>
        <v>-391176.4705882353</v>
      </c>
      <c r="Y727" s="137">
        <f t="shared" si="145"/>
        <v>-7823.529411764699</v>
      </c>
      <c r="Z727" s="137">
        <v>187159.16</v>
      </c>
      <c r="AA727" s="137">
        <f t="shared" si="141"/>
        <v>262840.83999999997</v>
      </c>
      <c r="AB727" s="146">
        <f t="shared" ref="AB727:AB732" si="148">IF(O727="返货",Z727/(1+N727),IF(O727="返现",Z727,IF(O727="折扣",Z727*N727,IF(O727="无",Z727))))</f>
        <v>183489.37254901961</v>
      </c>
      <c r="AC727" s="147">
        <f t="shared" si="142"/>
        <v>3669.7874509803951</v>
      </c>
      <c r="AD727" s="137">
        <v>187159.16</v>
      </c>
      <c r="AE727" s="138">
        <v>7.0000000000000007E-2</v>
      </c>
      <c r="AF727" s="137">
        <f t="shared" si="137"/>
        <v>13101.141200000002</v>
      </c>
      <c r="AG727" s="137">
        <v>9431.3537490196104</v>
      </c>
      <c r="AH727" s="154"/>
      <c r="AI727" s="154"/>
      <c r="AJ727" s="135" t="s">
        <v>809</v>
      </c>
      <c r="AK727" s="119" t="s">
        <v>809</v>
      </c>
      <c r="AM727" s="131"/>
    </row>
    <row r="728" spans="1:39" s="119" customFormat="1" ht="15" hidden="1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816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572</v>
      </c>
      <c r="K728" s="119" t="s">
        <v>573</v>
      </c>
      <c r="L728" s="119" t="s">
        <v>821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9"/>
        <v>1751.3075999999999</v>
      </c>
      <c r="U728" s="137">
        <f t="shared" si="143"/>
        <v>60128.227599999998</v>
      </c>
      <c r="V728" s="137">
        <v>0</v>
      </c>
      <c r="W728" s="137">
        <f t="shared" si="144"/>
        <v>60128.227599999998</v>
      </c>
      <c r="X728" s="137">
        <f t="shared" si="140"/>
        <v>58376.92</v>
      </c>
      <c r="Y728" s="137">
        <f t="shared" si="145"/>
        <v>1751.3076000000001</v>
      </c>
      <c r="Z728" s="137">
        <v>58376.92</v>
      </c>
      <c r="AA728" s="137">
        <f t="shared" si="141"/>
        <v>-58376.92</v>
      </c>
      <c r="AB728" s="146">
        <f t="shared" si="148"/>
        <v>56676.621359223296</v>
      </c>
      <c r="AC728" s="147">
        <f t="shared" si="142"/>
        <v>1700.2986407767021</v>
      </c>
      <c r="AD728" s="137">
        <f t="shared" ref="AD728:AD759" si="149">Z728*0.980277351080772</f>
        <v>57225.572501854134</v>
      </c>
      <c r="AE728" s="138">
        <v>0.31559999999999999</v>
      </c>
      <c r="AF728" s="137">
        <f t="shared" si="137"/>
        <v>18060.390681585166</v>
      </c>
      <c r="AG728" s="137">
        <v>16723.457311223301</v>
      </c>
      <c r="AH728" s="154"/>
      <c r="AI728" s="154"/>
      <c r="AJ728" s="135" t="s">
        <v>822</v>
      </c>
      <c r="AK728" s="119" t="s">
        <v>822</v>
      </c>
      <c r="AM728" s="131"/>
    </row>
    <row r="729" spans="1:39" s="119" customFormat="1" ht="15" hidden="1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816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572</v>
      </c>
      <c r="K729" s="119" t="s">
        <v>573</v>
      </c>
      <c r="L729" s="119" t="s">
        <v>821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9"/>
        <v>532.46160000000009</v>
      </c>
      <c r="U729" s="137">
        <f t="shared" si="143"/>
        <v>27155.5416</v>
      </c>
      <c r="V729" s="137">
        <v>60000</v>
      </c>
      <c r="W729" s="137">
        <f t="shared" si="144"/>
        <v>-32844.458400000003</v>
      </c>
      <c r="X729" s="137">
        <f t="shared" si="140"/>
        <v>-32200.449411764708</v>
      </c>
      <c r="Y729" s="137">
        <f t="shared" si="145"/>
        <v>-644.00898823529496</v>
      </c>
      <c r="Z729" s="137">
        <v>1623.08</v>
      </c>
      <c r="AA729" s="137">
        <f t="shared" si="141"/>
        <v>58376.92</v>
      </c>
      <c r="AB729" s="146">
        <f t="shared" si="148"/>
        <v>1591.2549019607843</v>
      </c>
      <c r="AC729" s="147">
        <f t="shared" si="142"/>
        <v>31.825098039215618</v>
      </c>
      <c r="AD729" s="137">
        <f t="shared" si="149"/>
        <v>1591.0685629921793</v>
      </c>
      <c r="AE729" s="138">
        <v>0.1077</v>
      </c>
      <c r="AF729" s="137">
        <f t="shared" si="137"/>
        <v>171.35808423425772</v>
      </c>
      <c r="AG729" s="137">
        <v>142.980617960784</v>
      </c>
      <c r="AH729" s="154"/>
      <c r="AI729" s="154"/>
      <c r="AJ729" s="135" t="s">
        <v>823</v>
      </c>
      <c r="AK729" s="119" t="s">
        <v>823</v>
      </c>
      <c r="AM729" s="131"/>
    </row>
    <row r="730" spans="1:39" s="119" customFormat="1" ht="15" hidden="1" customHeight="1" x14ac:dyDescent="0.3">
      <c r="A730" s="119">
        <v>2017</v>
      </c>
      <c r="B730" s="119" t="s">
        <v>37</v>
      </c>
      <c r="C730" s="119" t="s">
        <v>198</v>
      </c>
      <c r="D730" s="119" t="s">
        <v>824</v>
      </c>
      <c r="E730" s="119" t="s">
        <v>816</v>
      </c>
      <c r="F730" s="119" t="s">
        <v>825</v>
      </c>
      <c r="G730" s="119" t="s">
        <v>825</v>
      </c>
      <c r="H730" s="119" t="s">
        <v>825</v>
      </c>
      <c r="I730" s="163" t="s">
        <v>202</v>
      </c>
      <c r="J730" s="119" t="s">
        <v>572</v>
      </c>
      <c r="K730" s="119" t="s">
        <v>573</v>
      </c>
      <c r="L730" s="119" t="s">
        <v>825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9"/>
        <v>3.1072000000000002</v>
      </c>
      <c r="U730" s="137">
        <f t="shared" si="143"/>
        <v>158.46720000000002</v>
      </c>
      <c r="V730" s="137">
        <v>0</v>
      </c>
      <c r="W730" s="137">
        <f t="shared" si="144"/>
        <v>158.46720000000002</v>
      </c>
      <c r="X730" s="137">
        <f t="shared" si="140"/>
        <v>155.36000000000001</v>
      </c>
      <c r="Y730" s="137">
        <f t="shared" si="145"/>
        <v>3.107200000000006</v>
      </c>
      <c r="Z730" s="137">
        <v>155.36000000000001</v>
      </c>
      <c r="AA730" s="137">
        <f t="shared" si="141"/>
        <v>-155.36000000000001</v>
      </c>
      <c r="AB730" s="146">
        <f t="shared" si="148"/>
        <v>152.31372549019608</v>
      </c>
      <c r="AC730" s="147">
        <f t="shared" si="142"/>
        <v>3.0462745098039363</v>
      </c>
      <c r="AD730" s="137">
        <f t="shared" si="149"/>
        <v>152.29588926390875</v>
      </c>
      <c r="AE730" s="138">
        <v>0.31559999999999999</v>
      </c>
      <c r="AF730" s="137">
        <f t="shared" si="137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hidden="1" customHeight="1" x14ac:dyDescent="0.3">
      <c r="A731" s="119">
        <v>2017</v>
      </c>
      <c r="B731" s="119" t="s">
        <v>37</v>
      </c>
      <c r="C731" s="119" t="s">
        <v>198</v>
      </c>
      <c r="D731" s="119" t="s">
        <v>824</v>
      </c>
      <c r="E731" s="119" t="s">
        <v>816</v>
      </c>
      <c r="F731" s="119" t="s">
        <v>825</v>
      </c>
      <c r="G731" s="119" t="s">
        <v>825</v>
      </c>
      <c r="H731" s="119" t="s">
        <v>825</v>
      </c>
      <c r="I731" s="163" t="s">
        <v>202</v>
      </c>
      <c r="J731" s="119" t="s">
        <v>572</v>
      </c>
      <c r="K731" s="119" t="s">
        <v>573</v>
      </c>
      <c r="L731" s="119" t="s">
        <v>825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9"/>
        <v>196.89279999999999</v>
      </c>
      <c r="U731" s="137">
        <f t="shared" si="143"/>
        <v>10041.532799999999</v>
      </c>
      <c r="V731" s="137">
        <v>10000</v>
      </c>
      <c r="W731" s="137">
        <f t="shared" si="144"/>
        <v>41.532799999999042</v>
      </c>
      <c r="X731" s="137">
        <f t="shared" si="140"/>
        <v>40.718431372548082</v>
      </c>
      <c r="Y731" s="137">
        <f t="shared" si="145"/>
        <v>0.8143686274509605</v>
      </c>
      <c r="Z731" s="137">
        <v>9844.64</v>
      </c>
      <c r="AA731" s="137">
        <f t="shared" si="141"/>
        <v>155.36000000000058</v>
      </c>
      <c r="AB731" s="146">
        <f t="shared" si="148"/>
        <v>9651.6078431372534</v>
      </c>
      <c r="AC731" s="147">
        <f t="shared" si="142"/>
        <v>193.03215686274598</v>
      </c>
      <c r="AD731" s="137">
        <f t="shared" si="149"/>
        <v>9650.4776215438105</v>
      </c>
      <c r="AE731" s="138">
        <v>0.1077</v>
      </c>
      <c r="AF731" s="137">
        <f t="shared" si="137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hidden="1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572</v>
      </c>
      <c r="K732" s="119" t="s">
        <v>573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9"/>
        <v>0</v>
      </c>
      <c r="U732" s="137">
        <f t="shared" si="143"/>
        <v>0</v>
      </c>
      <c r="V732" s="137">
        <v>7820000</v>
      </c>
      <c r="W732" s="137">
        <f t="shared" si="144"/>
        <v>-7820000</v>
      </c>
      <c r="X732" s="137">
        <f t="shared" si="140"/>
        <v>-7666666.666666667</v>
      </c>
      <c r="Y732" s="137">
        <f t="shared" si="145"/>
        <v>-153333.33333333302</v>
      </c>
      <c r="Z732" s="137">
        <v>1361931.7</v>
      </c>
      <c r="AA732" s="137">
        <f t="shared" si="141"/>
        <v>6458068.2999999998</v>
      </c>
      <c r="AB732" s="146">
        <f t="shared" si="148"/>
        <v>1335227.1568627451</v>
      </c>
      <c r="AC732" s="147">
        <f t="shared" si="142"/>
        <v>26704.543137254892</v>
      </c>
      <c r="AD732" s="137">
        <f t="shared" si="149"/>
        <v>1335070.7992289325</v>
      </c>
      <c r="AE732" s="138">
        <v>0.1077</v>
      </c>
      <c r="AF732" s="137">
        <f t="shared" si="137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hidden="1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493</v>
      </c>
      <c r="G733" s="131" t="s">
        <v>494</v>
      </c>
      <c r="H733" s="158" t="s">
        <v>495</v>
      </c>
      <c r="I733" s="131" t="s">
        <v>202</v>
      </c>
      <c r="J733" s="119" t="s">
        <v>572</v>
      </c>
      <c r="K733" s="119" t="s">
        <v>573</v>
      </c>
      <c r="L733" s="119" t="s">
        <v>826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9"/>
        <v>0</v>
      </c>
      <c r="U733" s="137">
        <f t="shared" si="143"/>
        <v>0</v>
      </c>
      <c r="V733" s="137">
        <v>1300000</v>
      </c>
      <c r="W733" s="137">
        <f t="shared" si="144"/>
        <v>-1300000</v>
      </c>
      <c r="X733" s="137">
        <f t="shared" si="140"/>
        <v>-1274509.8039215687</v>
      </c>
      <c r="Y733" s="137">
        <f t="shared" si="145"/>
        <v>-25490.196078431327</v>
      </c>
      <c r="Z733" s="137">
        <v>284706.82</v>
      </c>
      <c r="AA733" s="137">
        <f t="shared" si="141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2"/>
        <v>59721.58137254903</v>
      </c>
      <c r="AD733" s="137">
        <f t="shared" si="149"/>
        <v>279091.64734423015</v>
      </c>
      <c r="AE733" s="138">
        <v>0.1077</v>
      </c>
      <c r="AF733" s="137">
        <f t="shared" si="137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hidden="1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718</v>
      </c>
      <c r="G734" s="131" t="s">
        <v>719</v>
      </c>
      <c r="H734" s="131" t="s">
        <v>719</v>
      </c>
      <c r="I734" s="131" t="s">
        <v>202</v>
      </c>
      <c r="J734" s="119" t="s">
        <v>572</v>
      </c>
      <c r="K734" s="119" t="s">
        <v>573</v>
      </c>
      <c r="L734" s="119" t="s">
        <v>827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9"/>
        <v>0</v>
      </c>
      <c r="U734" s="137">
        <f t="shared" si="143"/>
        <v>0</v>
      </c>
      <c r="V734" s="137">
        <v>272000</v>
      </c>
      <c r="W734" s="137">
        <f t="shared" si="144"/>
        <v>-272000</v>
      </c>
      <c r="X734" s="137">
        <f t="shared" si="140"/>
        <v>-266666.66666666669</v>
      </c>
      <c r="Y734" s="137">
        <f t="shared" si="145"/>
        <v>-5333.3333333333139</v>
      </c>
      <c r="Z734" s="137">
        <v>184519.1</v>
      </c>
      <c r="AA734" s="137">
        <f t="shared" si="141"/>
        <v>87480.9</v>
      </c>
      <c r="AB734" s="146">
        <f t="shared" ref="AB734:AB743" si="150">IF(O734="返货",Z734/(1+N734),IF(O734="返现",Z734,IF(O734="折扣",Z734*N734,IF(O734="无",Z734))))</f>
        <v>180901.07843137256</v>
      </c>
      <c r="AC734" s="147">
        <f t="shared" si="142"/>
        <v>3618.021568627446</v>
      </c>
      <c r="AD734" s="137">
        <f t="shared" si="149"/>
        <v>180879.89457180808</v>
      </c>
      <c r="AE734" s="138">
        <v>0.1077</v>
      </c>
      <c r="AF734" s="137">
        <f t="shared" si="137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hidden="1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718</v>
      </c>
      <c r="G735" s="131" t="s">
        <v>719</v>
      </c>
      <c r="H735" s="131" t="s">
        <v>719</v>
      </c>
      <c r="I735" s="131" t="s">
        <v>202</v>
      </c>
      <c r="J735" s="119" t="s">
        <v>572</v>
      </c>
      <c r="K735" s="119" t="s">
        <v>573</v>
      </c>
      <c r="L735" s="119" t="s">
        <v>828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9"/>
        <v>0</v>
      </c>
      <c r="U735" s="137">
        <f t="shared" si="143"/>
        <v>0</v>
      </c>
      <c r="V735" s="137">
        <v>224400</v>
      </c>
      <c r="W735" s="137">
        <f t="shared" si="144"/>
        <v>-224400</v>
      </c>
      <c r="X735" s="137">
        <f t="shared" si="140"/>
        <v>-220000</v>
      </c>
      <c r="Y735" s="137">
        <f t="shared" si="145"/>
        <v>-4400</v>
      </c>
      <c r="Z735" s="137">
        <v>127580.18</v>
      </c>
      <c r="AA735" s="137">
        <f t="shared" si="141"/>
        <v>96819.82</v>
      </c>
      <c r="AB735" s="146">
        <f t="shared" si="150"/>
        <v>125078.60784313724</v>
      </c>
      <c r="AC735" s="147">
        <f t="shared" si="142"/>
        <v>2501.5721568627487</v>
      </c>
      <c r="AD735" s="137">
        <f t="shared" si="149"/>
        <v>125063.96090080807</v>
      </c>
      <c r="AE735" s="138">
        <v>0.1077</v>
      </c>
      <c r="AF735" s="137">
        <f t="shared" si="137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hidden="1" customHeight="1" x14ac:dyDescent="0.3">
      <c r="A736" s="119">
        <v>2017</v>
      </c>
      <c r="B736" s="119" t="s">
        <v>37</v>
      </c>
      <c r="C736" s="119" t="s">
        <v>58</v>
      </c>
      <c r="D736" s="119" t="s">
        <v>829</v>
      </c>
      <c r="F736" s="131" t="s">
        <v>732</v>
      </c>
      <c r="G736" s="131" t="s">
        <v>732</v>
      </c>
      <c r="H736" s="131" t="s">
        <v>732</v>
      </c>
      <c r="I736" s="131" t="s">
        <v>202</v>
      </c>
      <c r="J736" s="119" t="s">
        <v>572</v>
      </c>
      <c r="K736" s="119" t="s">
        <v>573</v>
      </c>
      <c r="L736" s="119" t="s">
        <v>733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9"/>
        <v>0</v>
      </c>
      <c r="U736" s="137">
        <f t="shared" si="143"/>
        <v>0</v>
      </c>
      <c r="V736" s="137">
        <v>173400</v>
      </c>
      <c r="W736" s="137">
        <f t="shared" si="144"/>
        <v>-173400</v>
      </c>
      <c r="X736" s="137">
        <f t="shared" si="140"/>
        <v>-170000</v>
      </c>
      <c r="Y736" s="137">
        <f t="shared" si="145"/>
        <v>-3400</v>
      </c>
      <c r="Z736" s="137">
        <v>0</v>
      </c>
      <c r="AA736" s="137">
        <f t="shared" si="141"/>
        <v>173400</v>
      </c>
      <c r="AB736" s="146">
        <f t="shared" si="150"/>
        <v>0</v>
      </c>
      <c r="AC736" s="147">
        <f t="shared" si="142"/>
        <v>0</v>
      </c>
      <c r="AD736" s="137">
        <f t="shared" si="149"/>
        <v>0</v>
      </c>
      <c r="AE736" s="138">
        <v>0.1077</v>
      </c>
      <c r="AF736" s="137">
        <f t="shared" si="137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hidden="1" customHeight="1" x14ac:dyDescent="0.3">
      <c r="A737" s="119">
        <v>2017</v>
      </c>
      <c r="B737" s="119" t="s">
        <v>37</v>
      </c>
      <c r="C737" s="119" t="s">
        <v>38</v>
      </c>
      <c r="D737" s="119" t="s">
        <v>830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572</v>
      </c>
      <c r="K737" s="119" t="s">
        <v>573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9"/>
        <v>0</v>
      </c>
      <c r="U737" s="137">
        <f t="shared" si="143"/>
        <v>0</v>
      </c>
      <c r="V737" s="137">
        <v>102000</v>
      </c>
      <c r="W737" s="137">
        <f t="shared" si="144"/>
        <v>-102000</v>
      </c>
      <c r="X737" s="137">
        <f t="shared" si="140"/>
        <v>-100000</v>
      </c>
      <c r="Y737" s="137">
        <f t="shared" si="145"/>
        <v>-2000</v>
      </c>
      <c r="Z737" s="137">
        <v>79142.179999999993</v>
      </c>
      <c r="AA737" s="137">
        <f t="shared" si="141"/>
        <v>22857.820000000007</v>
      </c>
      <c r="AB737" s="146">
        <f t="shared" si="150"/>
        <v>77590.372549019594</v>
      </c>
      <c r="AC737" s="147">
        <f t="shared" si="142"/>
        <v>1551.8074509803992</v>
      </c>
      <c r="AD737" s="137">
        <f t="shared" si="149"/>
        <v>77581.286569157644</v>
      </c>
      <c r="AE737" s="138">
        <v>0.1077</v>
      </c>
      <c r="AF737" s="137">
        <f t="shared" si="137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hidden="1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572</v>
      </c>
      <c r="K738" s="119" t="s">
        <v>573</v>
      </c>
      <c r="L738" s="119" t="s">
        <v>561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9"/>
        <v>0</v>
      </c>
      <c r="U738" s="137">
        <f t="shared" si="143"/>
        <v>0</v>
      </c>
      <c r="V738" s="137">
        <v>80000</v>
      </c>
      <c r="W738" s="137">
        <f t="shared" si="144"/>
        <v>-80000</v>
      </c>
      <c r="X738" s="137">
        <f t="shared" si="140"/>
        <v>-77669.902912621357</v>
      </c>
      <c r="Y738" s="137">
        <f t="shared" si="145"/>
        <v>-2330.0970873786428</v>
      </c>
      <c r="Z738" s="137">
        <v>56150.93</v>
      </c>
      <c r="AA738" s="137">
        <f t="shared" si="141"/>
        <v>23849.07</v>
      </c>
      <c r="AB738" s="146">
        <f t="shared" si="150"/>
        <v>54515.466019417472</v>
      </c>
      <c r="AC738" s="147">
        <f t="shared" si="142"/>
        <v>1635.4639805825282</v>
      </c>
      <c r="AD738" s="137">
        <f t="shared" si="149"/>
        <v>55043.484921121853</v>
      </c>
      <c r="AE738" s="138">
        <v>0.1077</v>
      </c>
      <c r="AF738" s="137">
        <f t="shared" si="137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hidden="1" customHeight="1" x14ac:dyDescent="0.3">
      <c r="A739" s="119">
        <v>2017</v>
      </c>
      <c r="B739" s="119" t="s">
        <v>37</v>
      </c>
      <c r="C739" s="119" t="s">
        <v>74</v>
      </c>
      <c r="D739" s="119" t="s">
        <v>515</v>
      </c>
      <c r="F739" s="131" t="s">
        <v>656</v>
      </c>
      <c r="G739" s="131" t="s">
        <v>656</v>
      </c>
      <c r="H739" s="131" t="s">
        <v>656</v>
      </c>
      <c r="I739" s="131" t="s">
        <v>202</v>
      </c>
      <c r="J739" s="119" t="s">
        <v>572</v>
      </c>
      <c r="K739" s="119" t="s">
        <v>573</v>
      </c>
      <c r="L739" s="119" t="s">
        <v>444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9"/>
        <v>0</v>
      </c>
      <c r="U739" s="137">
        <f t="shared" si="143"/>
        <v>0</v>
      </c>
      <c r="V739" s="137">
        <v>71257.14</v>
      </c>
      <c r="W739" s="137">
        <f t="shared" si="144"/>
        <v>-71257.14</v>
      </c>
      <c r="X739" s="137">
        <f t="shared" si="140"/>
        <v>-69859.941176470587</v>
      </c>
      <c r="Y739" s="137">
        <f t="shared" si="145"/>
        <v>-1397.198823529412</v>
      </c>
      <c r="Z739" s="137">
        <v>71257.14</v>
      </c>
      <c r="AA739" s="137">
        <f t="shared" si="141"/>
        <v>0</v>
      </c>
      <c r="AB739" s="146">
        <v>70000</v>
      </c>
      <c r="AC739" s="147">
        <f t="shared" si="142"/>
        <v>1257.1399999999994</v>
      </c>
      <c r="AD739" s="137">
        <f t="shared" si="149"/>
        <v>69851.760444791726</v>
      </c>
      <c r="AE739" s="138">
        <v>0.1077</v>
      </c>
      <c r="AF739" s="137">
        <f t="shared" si="137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hidden="1" customHeight="1" x14ac:dyDescent="0.3">
      <c r="A740" s="119">
        <v>2017</v>
      </c>
      <c r="B740" s="119" t="s">
        <v>197</v>
      </c>
      <c r="C740" s="119" t="s">
        <v>74</v>
      </c>
      <c r="D740" s="119" t="s">
        <v>515</v>
      </c>
      <c r="F740" s="131" t="s">
        <v>653</v>
      </c>
      <c r="G740" s="131" t="s">
        <v>654</v>
      </c>
      <c r="H740" s="158" t="s">
        <v>655</v>
      </c>
      <c r="I740" s="131" t="s">
        <v>202</v>
      </c>
      <c r="J740" s="119" t="s">
        <v>572</v>
      </c>
      <c r="K740" s="119" t="s">
        <v>573</v>
      </c>
      <c r="L740" s="119" t="s">
        <v>1627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9"/>
        <v>0</v>
      </c>
      <c r="U740" s="137">
        <f t="shared" si="143"/>
        <v>0</v>
      </c>
      <c r="V740" s="137">
        <v>50000</v>
      </c>
      <c r="W740" s="137">
        <f t="shared" si="144"/>
        <v>-50000</v>
      </c>
      <c r="X740" s="137">
        <f t="shared" si="140"/>
        <v>-50000</v>
      </c>
      <c r="Y740" s="137">
        <f t="shared" si="145"/>
        <v>0</v>
      </c>
      <c r="Z740" s="137">
        <v>30973.31</v>
      </c>
      <c r="AA740" s="137">
        <f t="shared" si="141"/>
        <v>19026.689999999999</v>
      </c>
      <c r="AB740" s="146">
        <f t="shared" si="150"/>
        <v>30973.31</v>
      </c>
      <c r="AC740" s="147">
        <f t="shared" si="142"/>
        <v>0</v>
      </c>
      <c r="AD740" s="137">
        <f t="shared" si="149"/>
        <v>30362.434281003585</v>
      </c>
      <c r="AE740" s="138">
        <v>0.1077</v>
      </c>
      <c r="AF740" s="137">
        <f t="shared" si="137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hidden="1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791</v>
      </c>
      <c r="G741" s="131" t="s">
        <v>791</v>
      </c>
      <c r="H741" s="131" t="s">
        <v>791</v>
      </c>
      <c r="I741" s="131" t="s">
        <v>202</v>
      </c>
      <c r="J741" s="119" t="s">
        <v>572</v>
      </c>
      <c r="K741" s="119" t="s">
        <v>573</v>
      </c>
      <c r="L741" s="119" t="s">
        <v>831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9"/>
        <v>0</v>
      </c>
      <c r="U741" s="137">
        <f t="shared" si="143"/>
        <v>0</v>
      </c>
      <c r="V741" s="137">
        <v>40000</v>
      </c>
      <c r="W741" s="137">
        <f t="shared" si="144"/>
        <v>-40000</v>
      </c>
      <c r="X741" s="137">
        <f t="shared" si="140"/>
        <v>-39215.686274509804</v>
      </c>
      <c r="Y741" s="137">
        <f t="shared" si="145"/>
        <v>-784.31372549019579</v>
      </c>
      <c r="Z741" s="137">
        <v>20288.099999999999</v>
      </c>
      <c r="AA741" s="137">
        <f t="shared" si="141"/>
        <v>19711.900000000001</v>
      </c>
      <c r="AB741" s="146">
        <f t="shared" si="150"/>
        <v>19890.294117647056</v>
      </c>
      <c r="AC741" s="147">
        <f t="shared" si="142"/>
        <v>397.80588235294272</v>
      </c>
      <c r="AD741" s="137">
        <f t="shared" si="149"/>
        <v>19887.964926461809</v>
      </c>
      <c r="AE741" s="138">
        <v>0.1077</v>
      </c>
      <c r="AF741" s="137">
        <f t="shared" si="137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hidden="1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627</v>
      </c>
      <c r="G742" s="131" t="s">
        <v>627</v>
      </c>
      <c r="H742" s="131" t="s">
        <v>627</v>
      </c>
      <c r="I742" s="131" t="s">
        <v>202</v>
      </c>
      <c r="J742" s="119" t="s">
        <v>572</v>
      </c>
      <c r="K742" s="119" t="s">
        <v>573</v>
      </c>
      <c r="L742" s="119" t="s">
        <v>832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9"/>
        <v>0</v>
      </c>
      <c r="U742" s="137">
        <f t="shared" si="143"/>
        <v>0</v>
      </c>
      <c r="V742" s="137">
        <v>18193.7</v>
      </c>
      <c r="W742" s="137">
        <f t="shared" si="144"/>
        <v>-18193.7</v>
      </c>
      <c r="X742" s="137">
        <f t="shared" si="140"/>
        <v>-17327.333333333332</v>
      </c>
      <c r="Y742" s="137">
        <f t="shared" si="145"/>
        <v>-866.36666666666861</v>
      </c>
      <c r="Z742" s="137">
        <v>18193.7</v>
      </c>
      <c r="AA742" s="137">
        <f t="shared" si="141"/>
        <v>0</v>
      </c>
      <c r="AB742" s="146">
        <f t="shared" si="150"/>
        <v>17327.333333333332</v>
      </c>
      <c r="AC742" s="147">
        <f t="shared" si="142"/>
        <v>866.36666666666861</v>
      </c>
      <c r="AD742" s="137">
        <f t="shared" si="149"/>
        <v>17834.872042358242</v>
      </c>
      <c r="AE742" s="138">
        <v>0.1077</v>
      </c>
      <c r="AF742" s="137">
        <f t="shared" si="137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hidden="1" customHeight="1" x14ac:dyDescent="0.3">
      <c r="A743" s="119">
        <v>2017</v>
      </c>
      <c r="C743" s="119" t="s">
        <v>58</v>
      </c>
      <c r="D743" s="119" t="s">
        <v>179</v>
      </c>
      <c r="F743" s="131" t="s">
        <v>833</v>
      </c>
      <c r="G743" s="131"/>
      <c r="H743" s="131"/>
      <c r="I743" s="131" t="s">
        <v>202</v>
      </c>
      <c r="J743" s="119" t="s">
        <v>572</v>
      </c>
      <c r="K743" s="119" t="s">
        <v>573</v>
      </c>
      <c r="L743" s="119" t="s">
        <v>833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9"/>
        <v>0</v>
      </c>
      <c r="U743" s="137">
        <f t="shared" si="143"/>
        <v>0</v>
      </c>
      <c r="V743" s="137">
        <v>10200</v>
      </c>
      <c r="W743" s="137">
        <f t="shared" si="144"/>
        <v>-10200</v>
      </c>
      <c r="X743" s="137">
        <f t="shared" si="140"/>
        <v>-10200</v>
      </c>
      <c r="Y743" s="137">
        <f t="shared" si="145"/>
        <v>0</v>
      </c>
      <c r="Z743" s="137">
        <v>0</v>
      </c>
      <c r="AA743" s="137">
        <f t="shared" si="141"/>
        <v>10200</v>
      </c>
      <c r="AB743" s="146">
        <f t="shared" si="150"/>
        <v>0</v>
      </c>
      <c r="AC743" s="147">
        <f t="shared" si="142"/>
        <v>0</v>
      </c>
      <c r="AD743" s="137">
        <f t="shared" si="149"/>
        <v>0</v>
      </c>
      <c r="AE743" s="138">
        <v>0.1077</v>
      </c>
      <c r="AF743" s="137">
        <f t="shared" si="137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834</v>
      </c>
    </row>
    <row r="744" spans="1:40" s="119" customFormat="1" ht="15" hidden="1" customHeight="1" x14ac:dyDescent="0.3">
      <c r="A744" s="119">
        <v>2017</v>
      </c>
      <c r="C744" s="119" t="s">
        <v>74</v>
      </c>
      <c r="D744" s="119" t="s">
        <v>515</v>
      </c>
      <c r="F744" s="131" t="s">
        <v>835</v>
      </c>
      <c r="G744" s="131"/>
      <c r="H744" s="131"/>
      <c r="I744" s="131" t="s">
        <v>202</v>
      </c>
      <c r="J744" s="119" t="s">
        <v>572</v>
      </c>
      <c r="K744" s="119" t="s">
        <v>573</v>
      </c>
      <c r="L744" s="119" t="s">
        <v>835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9"/>
        <v>0</v>
      </c>
      <c r="U744" s="137">
        <f t="shared" si="143"/>
        <v>0</v>
      </c>
      <c r="V744" s="137">
        <v>3500</v>
      </c>
      <c r="W744" s="137">
        <f t="shared" si="144"/>
        <v>-3500</v>
      </c>
      <c r="X744" s="137">
        <f t="shared" si="140"/>
        <v>-3500</v>
      </c>
      <c r="Y744" s="137">
        <f t="shared" si="145"/>
        <v>0</v>
      </c>
      <c r="Z744" s="137">
        <v>9077.33</v>
      </c>
      <c r="AA744" s="137">
        <f t="shared" si="141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2"/>
        <v>8485.83</v>
      </c>
      <c r="AD744" s="137">
        <f t="shared" si="149"/>
        <v>8898.3010072860234</v>
      </c>
      <c r="AE744" s="138">
        <v>0.1077</v>
      </c>
      <c r="AF744" s="137">
        <f t="shared" si="137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hidden="1" customHeight="1" x14ac:dyDescent="0.3">
      <c r="A745" s="119">
        <v>2017</v>
      </c>
      <c r="C745" s="119" t="s">
        <v>87</v>
      </c>
      <c r="D745" s="119" t="s">
        <v>126</v>
      </c>
      <c r="F745" s="131" t="s">
        <v>836</v>
      </c>
      <c r="G745" s="131"/>
      <c r="H745" s="131"/>
      <c r="I745" s="131" t="s">
        <v>202</v>
      </c>
      <c r="J745" s="119" t="s">
        <v>572</v>
      </c>
      <c r="K745" s="119" t="s">
        <v>573</v>
      </c>
      <c r="L745" s="119" t="s">
        <v>836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9"/>
        <v>0</v>
      </c>
      <c r="U745" s="137">
        <f t="shared" si="143"/>
        <v>0</v>
      </c>
      <c r="V745" s="137">
        <v>-1700</v>
      </c>
      <c r="W745" s="137">
        <f t="shared" si="144"/>
        <v>1700</v>
      </c>
      <c r="X745" s="137">
        <f t="shared" si="140"/>
        <v>1700</v>
      </c>
      <c r="Y745" s="137">
        <f t="shared" si="145"/>
        <v>0</v>
      </c>
      <c r="Z745" s="137">
        <v>0</v>
      </c>
      <c r="AA745" s="137">
        <f t="shared" si="141"/>
        <v>0</v>
      </c>
      <c r="AB745" s="146">
        <v>0</v>
      </c>
      <c r="AC745" s="147">
        <f t="shared" si="142"/>
        <v>0</v>
      </c>
      <c r="AD745" s="137">
        <f t="shared" si="149"/>
        <v>0</v>
      </c>
      <c r="AE745" s="138">
        <v>0.1077</v>
      </c>
      <c r="AF745" s="137">
        <f t="shared" si="137"/>
        <v>0</v>
      </c>
      <c r="AG745" s="137">
        <v>0</v>
      </c>
      <c r="AH745" s="154"/>
      <c r="AI745" s="154"/>
      <c r="AJ745" s="135" t="e">
        <v>#N/A</v>
      </c>
      <c r="AL745" s="119" t="s">
        <v>608</v>
      </c>
      <c r="AM745" s="131" t="s">
        <v>206</v>
      </c>
    </row>
    <row r="746" spans="1:40" s="119" customFormat="1" ht="15" hidden="1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837</v>
      </c>
      <c r="G746" s="131" t="s">
        <v>837</v>
      </c>
      <c r="H746" s="131" t="s">
        <v>837</v>
      </c>
      <c r="I746" s="131" t="s">
        <v>202</v>
      </c>
      <c r="J746" s="119" t="s">
        <v>572</v>
      </c>
      <c r="K746" s="119" t="s">
        <v>573</v>
      </c>
      <c r="L746" s="119" t="s">
        <v>837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9"/>
        <v>0</v>
      </c>
      <c r="U746" s="137">
        <f t="shared" si="143"/>
        <v>0</v>
      </c>
      <c r="V746" s="137">
        <v>-2075.5</v>
      </c>
      <c r="W746" s="137">
        <f t="shared" si="144"/>
        <v>2075.5</v>
      </c>
      <c r="X746" s="137">
        <f t="shared" si="140"/>
        <v>2034.8039215686274</v>
      </c>
      <c r="Y746" s="137">
        <f t="shared" si="145"/>
        <v>40.696078431372598</v>
      </c>
      <c r="Z746" s="137">
        <v>4602.95</v>
      </c>
      <c r="AA746" s="137">
        <f t="shared" si="141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2"/>
        <v>6637.7539215686274</v>
      </c>
      <c r="AD746" s="137">
        <f t="shared" si="149"/>
        <v>4512.1676331572389</v>
      </c>
      <c r="AE746" s="138">
        <v>0.1077</v>
      </c>
      <c r="AF746" s="137">
        <f t="shared" si="137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hidden="1" customHeight="1" x14ac:dyDescent="0.3">
      <c r="A747" s="119">
        <v>2017</v>
      </c>
      <c r="C747" s="119" t="s">
        <v>74</v>
      </c>
      <c r="D747" s="119" t="s">
        <v>515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572</v>
      </c>
      <c r="K747" s="119" t="s">
        <v>573</v>
      </c>
      <c r="L747" s="119" t="s">
        <v>838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9"/>
        <v>0</v>
      </c>
      <c r="U747" s="137">
        <f t="shared" si="143"/>
        <v>0</v>
      </c>
      <c r="V747" s="137">
        <v>-11600</v>
      </c>
      <c r="W747" s="137">
        <f t="shared" si="144"/>
        <v>11600</v>
      </c>
      <c r="X747" s="137">
        <f t="shared" si="140"/>
        <v>11600</v>
      </c>
      <c r="Y747" s="137">
        <f t="shared" si="145"/>
        <v>0</v>
      </c>
      <c r="Z747" s="137">
        <v>0</v>
      </c>
      <c r="AA747" s="137">
        <f t="shared" si="141"/>
        <v>82.469999999999345</v>
      </c>
      <c r="AB747" s="146">
        <v>0</v>
      </c>
      <c r="AC747" s="147">
        <f t="shared" si="142"/>
        <v>0</v>
      </c>
      <c r="AD747" s="137">
        <f t="shared" si="149"/>
        <v>0</v>
      </c>
      <c r="AE747" s="138">
        <v>0.1077</v>
      </c>
      <c r="AF747" s="137">
        <f t="shared" si="137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hidden="1" customHeight="1" x14ac:dyDescent="0.3">
      <c r="A748" s="119">
        <v>2017</v>
      </c>
      <c r="C748" s="119" t="s">
        <v>58</v>
      </c>
      <c r="D748" s="119" t="s">
        <v>714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572</v>
      </c>
      <c r="K748" s="119" t="s">
        <v>573</v>
      </c>
      <c r="L748" s="119" t="s">
        <v>839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9"/>
        <v>0</v>
      </c>
      <c r="U748" s="137">
        <f t="shared" si="143"/>
        <v>0</v>
      </c>
      <c r="V748" s="137">
        <v>-30000</v>
      </c>
      <c r="W748" s="137">
        <f t="shared" si="144"/>
        <v>30000</v>
      </c>
      <c r="X748" s="137">
        <f t="shared" si="140"/>
        <v>30000</v>
      </c>
      <c r="Y748" s="137">
        <f t="shared" si="145"/>
        <v>0</v>
      </c>
      <c r="Z748" s="137">
        <v>0</v>
      </c>
      <c r="AA748" s="137">
        <f t="shared" si="141"/>
        <v>16868.28</v>
      </c>
      <c r="AB748" s="146">
        <v>0</v>
      </c>
      <c r="AC748" s="147">
        <f t="shared" si="142"/>
        <v>0</v>
      </c>
      <c r="AD748" s="137">
        <f t="shared" si="149"/>
        <v>0</v>
      </c>
      <c r="AE748" s="138">
        <v>0.1077</v>
      </c>
      <c r="AF748" s="137">
        <f t="shared" si="137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834</v>
      </c>
    </row>
    <row r="749" spans="1:40" s="119" customFormat="1" ht="15" hidden="1" customHeight="1" x14ac:dyDescent="0.3">
      <c r="A749" s="119">
        <v>2017</v>
      </c>
      <c r="C749" s="119" t="s">
        <v>58</v>
      </c>
      <c r="D749" s="119" t="s">
        <v>714</v>
      </c>
      <c r="F749" s="131" t="s">
        <v>840</v>
      </c>
      <c r="G749" s="131"/>
      <c r="H749" s="131"/>
      <c r="I749" s="131" t="s">
        <v>202</v>
      </c>
      <c r="J749" s="119" t="s">
        <v>572</v>
      </c>
      <c r="K749" s="119" t="s">
        <v>573</v>
      </c>
      <c r="L749" s="119" t="s">
        <v>840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9"/>
        <v>0</v>
      </c>
      <c r="U749" s="137">
        <f t="shared" si="143"/>
        <v>0</v>
      </c>
      <c r="V749" s="137">
        <v>-183851.12</v>
      </c>
      <c r="W749" s="137">
        <f t="shared" si="144"/>
        <v>183851.12</v>
      </c>
      <c r="X749" s="137">
        <f t="shared" si="140"/>
        <v>183851.12</v>
      </c>
      <c r="Y749" s="137">
        <f t="shared" si="145"/>
        <v>0</v>
      </c>
      <c r="Z749" s="137">
        <v>0</v>
      </c>
      <c r="AA749" s="137">
        <f t="shared" si="141"/>
        <v>-183851.12</v>
      </c>
      <c r="AB749" s="146">
        <f>IF(O749="返货",Z749/(1+N749),IF(O749="返现",Z749,IF(O749="折扣",Z749*N749,IF(O749="无",Z749))))</f>
        <v>0</v>
      </c>
      <c r="AC749" s="147">
        <f t="shared" si="142"/>
        <v>0</v>
      </c>
      <c r="AD749" s="137">
        <f t="shared" si="149"/>
        <v>0</v>
      </c>
      <c r="AE749" s="138">
        <v>0.1077</v>
      </c>
      <c r="AF749" s="137">
        <f t="shared" si="137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834</v>
      </c>
    </row>
    <row r="750" spans="1:40" s="119" customFormat="1" ht="15" hidden="1" customHeight="1" x14ac:dyDescent="0.3">
      <c r="A750" s="119">
        <v>2017</v>
      </c>
      <c r="C750" s="119" t="s">
        <v>74</v>
      </c>
      <c r="D750" s="119" t="s">
        <v>515</v>
      </c>
      <c r="F750" s="131" t="s">
        <v>304</v>
      </c>
      <c r="G750" s="131"/>
      <c r="H750" s="131"/>
      <c r="I750" s="131" t="s">
        <v>202</v>
      </c>
      <c r="J750" s="119" t="s">
        <v>572</v>
      </c>
      <c r="K750" s="119" t="s">
        <v>573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9"/>
        <v>0</v>
      </c>
      <c r="U750" s="137">
        <f t="shared" si="143"/>
        <v>0</v>
      </c>
      <c r="V750" s="137">
        <v>-248136.47</v>
      </c>
      <c r="W750" s="137">
        <f t="shared" si="144"/>
        <v>248136.47</v>
      </c>
      <c r="X750" s="137">
        <f t="shared" si="140"/>
        <v>248136.47</v>
      </c>
      <c r="Y750" s="137">
        <f t="shared" si="145"/>
        <v>0</v>
      </c>
      <c r="Z750" s="137">
        <v>0</v>
      </c>
      <c r="AA750" s="137">
        <f t="shared" si="141"/>
        <v>-248136.47</v>
      </c>
      <c r="AB750" s="146">
        <f>IF(O750="返货",Z750/(1+N750),IF(O750="返现",Z750,IF(O750="折扣",Z750*N750,IF(O750="无",Z750))))</f>
        <v>0</v>
      </c>
      <c r="AC750" s="147">
        <f t="shared" si="142"/>
        <v>0</v>
      </c>
      <c r="AD750" s="137">
        <f t="shared" si="149"/>
        <v>0</v>
      </c>
      <c r="AE750" s="138">
        <v>0.1077</v>
      </c>
      <c r="AF750" s="137">
        <f t="shared" si="137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hidden="1" customHeight="1" x14ac:dyDescent="0.3">
      <c r="A751" s="119">
        <v>2017</v>
      </c>
      <c r="C751" s="119" t="s">
        <v>74</v>
      </c>
      <c r="D751" s="119" t="s">
        <v>515</v>
      </c>
      <c r="F751" s="131" t="s">
        <v>841</v>
      </c>
      <c r="G751" s="131"/>
      <c r="H751" s="131"/>
      <c r="I751" s="131" t="s">
        <v>202</v>
      </c>
      <c r="J751" s="119" t="s">
        <v>572</v>
      </c>
      <c r="K751" s="119" t="s">
        <v>573</v>
      </c>
      <c r="L751" s="119" t="s">
        <v>841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9"/>
        <v>0</v>
      </c>
      <c r="U751" s="137">
        <f t="shared" si="143"/>
        <v>0</v>
      </c>
      <c r="V751" s="137">
        <v>-374266.12</v>
      </c>
      <c r="W751" s="137">
        <f t="shared" si="144"/>
        <v>374266.12</v>
      </c>
      <c r="X751" s="137">
        <f t="shared" si="140"/>
        <v>374266.12</v>
      </c>
      <c r="Y751" s="137">
        <f t="shared" si="145"/>
        <v>0</v>
      </c>
      <c r="Z751" s="137">
        <v>0</v>
      </c>
      <c r="AA751" s="137">
        <f t="shared" si="141"/>
        <v>-298993.20999999996</v>
      </c>
      <c r="AB751" s="146">
        <v>0</v>
      </c>
      <c r="AC751" s="147">
        <f t="shared" si="142"/>
        <v>0</v>
      </c>
      <c r="AD751" s="137">
        <f t="shared" si="149"/>
        <v>0</v>
      </c>
      <c r="AE751" s="138">
        <v>0.1077</v>
      </c>
      <c r="AF751" s="137">
        <f t="shared" ref="AF751:AF814" si="151">AD751*AE751</f>
        <v>0</v>
      </c>
      <c r="AG751" s="137">
        <v>0</v>
      </c>
      <c r="AH751" s="154"/>
      <c r="AI751" s="154"/>
      <c r="AJ751" s="135" t="e">
        <v>#N/A</v>
      </c>
      <c r="AL751" s="119" t="s">
        <v>842</v>
      </c>
      <c r="AM751" s="131" t="s">
        <v>206</v>
      </c>
    </row>
    <row r="752" spans="1:40" s="119" customFormat="1" ht="15" hidden="1" customHeight="1" x14ac:dyDescent="0.3">
      <c r="A752" s="119">
        <v>2017</v>
      </c>
      <c r="B752" s="119" t="s">
        <v>1701</v>
      </c>
      <c r="C752" s="119" t="s">
        <v>74</v>
      </c>
      <c r="D752" s="119" t="s">
        <v>515</v>
      </c>
      <c r="F752" s="119" t="s">
        <v>674</v>
      </c>
      <c r="G752" s="119" t="s">
        <v>674</v>
      </c>
      <c r="H752" s="131"/>
      <c r="I752" s="131" t="s">
        <v>202</v>
      </c>
      <c r="J752" s="119" t="s">
        <v>572</v>
      </c>
      <c r="K752" s="119" t="s">
        <v>573</v>
      </c>
      <c r="L752" s="119" t="s">
        <v>843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9"/>
        <v>0</v>
      </c>
      <c r="U752" s="137">
        <f t="shared" si="143"/>
        <v>0</v>
      </c>
      <c r="V752" s="137">
        <v>0</v>
      </c>
      <c r="W752" s="137">
        <f t="shared" si="144"/>
        <v>0</v>
      </c>
      <c r="X752" s="137">
        <f t="shared" si="140"/>
        <v>0</v>
      </c>
      <c r="Y752" s="137">
        <f t="shared" si="145"/>
        <v>0</v>
      </c>
      <c r="Z752" s="137">
        <v>0</v>
      </c>
      <c r="AA752" s="137">
        <f t="shared" si="141"/>
        <v>0</v>
      </c>
      <c r="AB752" s="146">
        <f>IF(O752="返货",Z752/(1+N752),IF(O752="返现",Z752,IF(O752="折扣",Z752*N752,IF(O752="无",Z752))))</f>
        <v>0</v>
      </c>
      <c r="AC752" s="147">
        <f t="shared" si="142"/>
        <v>0</v>
      </c>
      <c r="AD752" s="137">
        <f t="shared" si="149"/>
        <v>0</v>
      </c>
      <c r="AE752" s="138">
        <v>0.1077</v>
      </c>
      <c r="AF752" s="137">
        <f t="shared" si="151"/>
        <v>0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hidden="1" customHeight="1" x14ac:dyDescent="0.3">
      <c r="A753" s="119">
        <v>2017</v>
      </c>
      <c r="C753" s="119" t="s">
        <v>74</v>
      </c>
      <c r="D753" s="119" t="s">
        <v>515</v>
      </c>
      <c r="F753" s="131" t="s">
        <v>844</v>
      </c>
      <c r="G753" s="131"/>
      <c r="H753" s="131"/>
      <c r="I753" s="131" t="s">
        <v>202</v>
      </c>
      <c r="J753" s="119" t="s">
        <v>572</v>
      </c>
      <c r="K753" s="119" t="s">
        <v>573</v>
      </c>
      <c r="L753" s="119" t="s">
        <v>844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9"/>
        <v>0</v>
      </c>
      <c r="U753" s="137">
        <f t="shared" si="143"/>
        <v>0</v>
      </c>
      <c r="V753" s="137">
        <v>1124.47</v>
      </c>
      <c r="W753" s="137">
        <f t="shared" si="144"/>
        <v>-1124.47</v>
      </c>
      <c r="X753" s="137">
        <f t="shared" si="140"/>
        <v>-1124.47</v>
      </c>
      <c r="Y753" s="137">
        <f t="shared" si="145"/>
        <v>0</v>
      </c>
      <c r="Z753" s="137">
        <v>0</v>
      </c>
      <c r="AA753" s="137">
        <f t="shared" si="141"/>
        <v>1124.47</v>
      </c>
      <c r="AB753" s="146">
        <f>IF(O753="返货",Z753/(1+N753),IF(O753="返现",Z753,IF(O753="折扣",Z753*N753,IF(O753="无",Z753))))</f>
        <v>0</v>
      </c>
      <c r="AC753" s="147">
        <f t="shared" si="142"/>
        <v>0</v>
      </c>
      <c r="AD753" s="137">
        <f t="shared" si="149"/>
        <v>0</v>
      </c>
      <c r="AE753" s="138">
        <v>0.1077</v>
      </c>
      <c r="AF753" s="137">
        <f t="shared" si="151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hidden="1" customHeight="1" x14ac:dyDescent="0.3">
      <c r="A754" s="119">
        <v>2017</v>
      </c>
      <c r="C754" s="119" t="s">
        <v>74</v>
      </c>
      <c r="D754" s="119" t="s">
        <v>515</v>
      </c>
      <c r="F754" s="131" t="s">
        <v>845</v>
      </c>
      <c r="G754" s="131"/>
      <c r="H754" s="131"/>
      <c r="I754" s="131" t="s">
        <v>202</v>
      </c>
      <c r="J754" s="119" t="s">
        <v>572</v>
      </c>
      <c r="K754" s="119" t="s">
        <v>573</v>
      </c>
      <c r="L754" s="119" t="s">
        <v>845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9"/>
        <v>0</v>
      </c>
      <c r="U754" s="137">
        <f t="shared" si="143"/>
        <v>0</v>
      </c>
      <c r="V754" s="137">
        <v>-384151.48</v>
      </c>
      <c r="W754" s="137">
        <f t="shared" si="144"/>
        <v>384151.48</v>
      </c>
      <c r="X754" s="137">
        <f t="shared" si="140"/>
        <v>384151.48</v>
      </c>
      <c r="Y754" s="137">
        <f t="shared" si="145"/>
        <v>0</v>
      </c>
      <c r="Z754" s="137">
        <v>33722.82</v>
      </c>
      <c r="AA754" s="137">
        <f t="shared" si="141"/>
        <v>-417874.3</v>
      </c>
      <c r="AB754" s="146">
        <f>IF(O754="返货",Z754/(1+N754),IF(O754="返现",Z754,IF(O754="折扣",Z754*N754,IF(O754="无",Z754))))</f>
        <v>33722.82</v>
      </c>
      <c r="AC754" s="147">
        <f t="shared" si="142"/>
        <v>0</v>
      </c>
      <c r="AD754" s="137">
        <f t="shared" si="149"/>
        <v>33057.716660573678</v>
      </c>
      <c r="AE754" s="138">
        <v>0.1077</v>
      </c>
      <c r="AF754" s="137">
        <f t="shared" si="151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hidden="1" customHeight="1" x14ac:dyDescent="0.3">
      <c r="A755" s="119">
        <v>2017</v>
      </c>
      <c r="C755" s="119" t="s">
        <v>74</v>
      </c>
      <c r="D755" s="119" t="s">
        <v>515</v>
      </c>
      <c r="F755" s="131" t="s">
        <v>846</v>
      </c>
      <c r="G755" s="131"/>
      <c r="H755" s="131"/>
      <c r="I755" s="131" t="s">
        <v>202</v>
      </c>
      <c r="J755" s="119" t="s">
        <v>572</v>
      </c>
      <c r="K755" s="119" t="s">
        <v>573</v>
      </c>
      <c r="L755" s="119" t="s">
        <v>846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9"/>
        <v>0</v>
      </c>
      <c r="U755" s="137">
        <f t="shared" si="143"/>
        <v>0</v>
      </c>
      <c r="V755" s="137">
        <v>-36305</v>
      </c>
      <c r="W755" s="137">
        <f t="shared" si="144"/>
        <v>36305</v>
      </c>
      <c r="X755" s="137">
        <f t="shared" si="140"/>
        <v>36305</v>
      </c>
      <c r="Y755" s="137">
        <f t="shared" si="145"/>
        <v>0</v>
      </c>
      <c r="Z755" s="137">
        <v>0</v>
      </c>
      <c r="AA755" s="137">
        <f t="shared" si="141"/>
        <v>-36305</v>
      </c>
      <c r="AB755" s="146">
        <f>IF(O755="返货",Z755/(1+N755),IF(O755="返现",Z755,IF(O755="折扣",Z755*N755,IF(O755="无",Z755))))</f>
        <v>0</v>
      </c>
      <c r="AC755" s="147">
        <f t="shared" si="142"/>
        <v>0</v>
      </c>
      <c r="AD755" s="137">
        <f t="shared" si="149"/>
        <v>0</v>
      </c>
      <c r="AE755" s="138">
        <v>0.1077</v>
      </c>
      <c r="AF755" s="137">
        <f t="shared" si="151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hidden="1" customHeight="1" x14ac:dyDescent="0.3">
      <c r="A756" s="119">
        <v>2017</v>
      </c>
      <c r="B756" s="119" t="s">
        <v>197</v>
      </c>
      <c r="C756" s="119" t="s">
        <v>58</v>
      </c>
      <c r="D756" s="119" t="s">
        <v>714</v>
      </c>
      <c r="F756" s="131" t="s">
        <v>847</v>
      </c>
      <c r="G756" s="131"/>
      <c r="H756" s="131"/>
      <c r="I756" s="131" t="s">
        <v>202</v>
      </c>
      <c r="J756" s="119" t="s">
        <v>572</v>
      </c>
      <c r="K756" s="119" t="s">
        <v>573</v>
      </c>
      <c r="L756" s="119" t="s">
        <v>847</v>
      </c>
      <c r="M756" s="119" t="s">
        <v>45</v>
      </c>
      <c r="N756" s="135">
        <v>0</v>
      </c>
      <c r="O756" s="135" t="s">
        <v>46</v>
      </c>
      <c r="P756" s="135" t="s">
        <v>848</v>
      </c>
      <c r="Q756" s="137">
        <v>201536.90689000001</v>
      </c>
      <c r="R756" s="137">
        <v>0</v>
      </c>
      <c r="S756" s="137"/>
      <c r="T756" s="137">
        <f t="shared" si="139"/>
        <v>0</v>
      </c>
      <c r="U756" s="137">
        <f t="shared" si="143"/>
        <v>0</v>
      </c>
      <c r="V756" s="137">
        <v>0</v>
      </c>
      <c r="W756" s="137">
        <f t="shared" si="144"/>
        <v>0</v>
      </c>
      <c r="X756" s="137">
        <f t="shared" si="140"/>
        <v>0</v>
      </c>
      <c r="Y756" s="137">
        <f t="shared" si="145"/>
        <v>0</v>
      </c>
      <c r="Z756" s="137">
        <v>155918.1</v>
      </c>
      <c r="AA756" s="137">
        <f t="shared" si="141"/>
        <v>45618.806890000007</v>
      </c>
      <c r="AB756" s="146">
        <v>0</v>
      </c>
      <c r="AC756" s="147">
        <f t="shared" si="142"/>
        <v>155918.1</v>
      </c>
      <c r="AD756" s="137">
        <f t="shared" si="149"/>
        <v>152842.9820535469</v>
      </c>
      <c r="AE756" s="138">
        <v>0.1077</v>
      </c>
      <c r="AF756" s="137">
        <f t="shared" si="151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hidden="1" customHeight="1" x14ac:dyDescent="0.3">
      <c r="A757" s="119">
        <v>2017</v>
      </c>
      <c r="C757" s="119" t="s">
        <v>58</v>
      </c>
      <c r="D757" s="119" t="s">
        <v>714</v>
      </c>
      <c r="F757" s="131" t="s">
        <v>849</v>
      </c>
      <c r="G757" s="131"/>
      <c r="H757" s="131"/>
      <c r="I757" s="131" t="s">
        <v>202</v>
      </c>
      <c r="J757" s="119" t="s">
        <v>572</v>
      </c>
      <c r="K757" s="119" t="s">
        <v>573</v>
      </c>
      <c r="L757" s="119" t="s">
        <v>849</v>
      </c>
      <c r="M757" s="119" t="s">
        <v>45</v>
      </c>
      <c r="N757" s="135">
        <v>0</v>
      </c>
      <c r="O757" s="135" t="s">
        <v>46</v>
      </c>
      <c r="P757" s="135" t="s">
        <v>850</v>
      </c>
      <c r="Q757" s="137">
        <v>68043.38</v>
      </c>
      <c r="R757" s="137">
        <v>0</v>
      </c>
      <c r="S757" s="137"/>
      <c r="T757" s="137">
        <f t="shared" si="139"/>
        <v>0</v>
      </c>
      <c r="U757" s="137">
        <f t="shared" si="143"/>
        <v>0</v>
      </c>
      <c r="V757" s="137">
        <v>0</v>
      </c>
      <c r="W757" s="137">
        <f t="shared" si="144"/>
        <v>0</v>
      </c>
      <c r="X757" s="137">
        <f t="shared" si="140"/>
        <v>0</v>
      </c>
      <c r="Y757" s="137">
        <f t="shared" si="145"/>
        <v>0</v>
      </c>
      <c r="Z757" s="137">
        <v>68043.38</v>
      </c>
      <c r="AA757" s="137">
        <f t="shared" si="141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2"/>
        <v>68043.38</v>
      </c>
      <c r="AD757" s="137">
        <f t="shared" si="149"/>
        <v>66701.384304982377</v>
      </c>
      <c r="AE757" s="138">
        <v>0.1077</v>
      </c>
      <c r="AF757" s="137">
        <f t="shared" si="151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hidden="1" customHeight="1" x14ac:dyDescent="0.3">
      <c r="A758" s="119">
        <v>2017</v>
      </c>
      <c r="C758" s="119" t="s">
        <v>74</v>
      </c>
      <c r="D758" s="119" t="s">
        <v>515</v>
      </c>
      <c r="F758" s="131" t="s">
        <v>851</v>
      </c>
      <c r="G758" s="131"/>
      <c r="H758" s="131"/>
      <c r="I758" s="131" t="s">
        <v>202</v>
      </c>
      <c r="J758" s="119" t="s">
        <v>572</v>
      </c>
      <c r="K758" s="119" t="s">
        <v>573</v>
      </c>
      <c r="L758" s="119" t="s">
        <v>851</v>
      </c>
      <c r="M758" s="119" t="s">
        <v>45</v>
      </c>
      <c r="N758" s="135">
        <v>0</v>
      </c>
      <c r="O758" s="135" t="s">
        <v>46</v>
      </c>
      <c r="P758" s="135" t="s">
        <v>850</v>
      </c>
      <c r="Q758" s="137">
        <v>45277.22</v>
      </c>
      <c r="R758" s="137">
        <v>0</v>
      </c>
      <c r="S758" s="137"/>
      <c r="T758" s="137">
        <f t="shared" si="139"/>
        <v>0</v>
      </c>
      <c r="U758" s="137">
        <f t="shared" si="143"/>
        <v>0</v>
      </c>
      <c r="V758" s="137">
        <v>0</v>
      </c>
      <c r="W758" s="137">
        <f t="shared" si="144"/>
        <v>0</v>
      </c>
      <c r="X758" s="137">
        <f t="shared" si="140"/>
        <v>0</v>
      </c>
      <c r="Y758" s="137">
        <f t="shared" si="145"/>
        <v>0</v>
      </c>
      <c r="Z758" s="137">
        <v>45277.22</v>
      </c>
      <c r="AA758" s="137">
        <f t="shared" si="141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2"/>
        <v>45277.22</v>
      </c>
      <c r="AD758" s="137">
        <f t="shared" si="149"/>
        <v>44384.233285901348</v>
      </c>
      <c r="AE758" s="138">
        <v>0.1077</v>
      </c>
      <c r="AF758" s="137">
        <f t="shared" si="151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hidden="1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572</v>
      </c>
      <c r="K759" s="119" t="s">
        <v>573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9"/>
        <v>0</v>
      </c>
      <c r="U759" s="137">
        <f t="shared" si="143"/>
        <v>0</v>
      </c>
      <c r="V759" s="137">
        <v>0</v>
      </c>
      <c r="W759" s="137">
        <f t="shared" si="144"/>
        <v>0</v>
      </c>
      <c r="X759" s="137">
        <f t="shared" si="140"/>
        <v>0</v>
      </c>
      <c r="Y759" s="137">
        <f t="shared" si="145"/>
        <v>0</v>
      </c>
      <c r="Z759" s="137">
        <v>5921210</v>
      </c>
      <c r="AA759" s="137">
        <f t="shared" si="141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2"/>
        <v>438608.14814814832</v>
      </c>
      <c r="AD759" s="137">
        <f t="shared" si="149"/>
        <v>5804428.0539929774</v>
      </c>
      <c r="AE759" s="138">
        <v>0.31559999999999999</v>
      </c>
      <c r="AF759" s="137">
        <f t="shared" si="151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hidden="1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493</v>
      </c>
      <c r="G760" s="131" t="s">
        <v>494</v>
      </c>
      <c r="H760" s="158" t="s">
        <v>495</v>
      </c>
      <c r="I760" s="131" t="s">
        <v>202</v>
      </c>
      <c r="J760" s="119" t="s">
        <v>572</v>
      </c>
      <c r="K760" s="119" t="s">
        <v>573</v>
      </c>
      <c r="L760" s="119" t="s">
        <v>826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9"/>
        <v>0</v>
      </c>
      <c r="U760" s="137">
        <f t="shared" si="143"/>
        <v>0</v>
      </c>
      <c r="V760" s="137">
        <v>0</v>
      </c>
      <c r="W760" s="137">
        <f t="shared" si="144"/>
        <v>0</v>
      </c>
      <c r="X760" s="137">
        <f t="shared" si="140"/>
        <v>0</v>
      </c>
      <c r="Y760" s="137">
        <f t="shared" si="145"/>
        <v>0</v>
      </c>
      <c r="Z760" s="137">
        <v>504952.72</v>
      </c>
      <c r="AA760" s="137">
        <f t="shared" si="141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2"/>
        <v>58218.149259259284</v>
      </c>
      <c r="AD760" s="137">
        <f t="shared" ref="AD760:AD790" si="152">Z760*0.980277351080772</f>
        <v>494993.71478263073</v>
      </c>
      <c r="AE760" s="138">
        <v>0.31559999999999999</v>
      </c>
      <c r="AF760" s="137">
        <f t="shared" si="151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hidden="1" customHeight="1" x14ac:dyDescent="0.3">
      <c r="A761" s="119">
        <v>2017</v>
      </c>
      <c r="B761" s="119" t="s">
        <v>37</v>
      </c>
      <c r="C761" s="119" t="s">
        <v>38</v>
      </c>
      <c r="D761" s="119" t="s">
        <v>830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572</v>
      </c>
      <c r="K761" s="119" t="s">
        <v>573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9"/>
        <v>0</v>
      </c>
      <c r="U761" s="137">
        <f t="shared" si="143"/>
        <v>0</v>
      </c>
      <c r="V761" s="137">
        <v>0</v>
      </c>
      <c r="W761" s="137">
        <f t="shared" si="144"/>
        <v>0</v>
      </c>
      <c r="X761" s="137">
        <f t="shared" si="140"/>
        <v>0</v>
      </c>
      <c r="Y761" s="137">
        <f t="shared" si="145"/>
        <v>0</v>
      </c>
      <c r="Z761" s="137">
        <v>467919.58</v>
      </c>
      <c r="AA761" s="137">
        <f t="shared" si="141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2"/>
        <v>34660.70962962968</v>
      </c>
      <c r="AD761" s="137">
        <f t="shared" si="152"/>
        <v>458690.9664012274</v>
      </c>
      <c r="AE761" s="138">
        <v>0.31559999999999999</v>
      </c>
      <c r="AF761" s="137">
        <f t="shared" si="151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hidden="1" customHeight="1" x14ac:dyDescent="0.3">
      <c r="A762" s="119">
        <v>2017</v>
      </c>
      <c r="C762" s="119" t="s">
        <v>74</v>
      </c>
      <c r="D762" s="119" t="s">
        <v>515</v>
      </c>
      <c r="F762" s="131" t="s">
        <v>851</v>
      </c>
      <c r="G762" s="131"/>
      <c r="H762" s="131"/>
      <c r="I762" s="131" t="s">
        <v>202</v>
      </c>
      <c r="J762" s="119" t="s">
        <v>572</v>
      </c>
      <c r="K762" s="119" t="s">
        <v>573</v>
      </c>
      <c r="L762" s="119" t="s">
        <v>851</v>
      </c>
      <c r="M762" s="119" t="s">
        <v>183</v>
      </c>
      <c r="N762" s="135">
        <v>0</v>
      </c>
      <c r="O762" s="135" t="s">
        <v>46</v>
      </c>
      <c r="P762" s="135" t="s">
        <v>850</v>
      </c>
      <c r="Q762" s="137">
        <v>130762.88</v>
      </c>
      <c r="R762" s="137">
        <v>0</v>
      </c>
      <c r="S762" s="137"/>
      <c r="T762" s="137">
        <f t="shared" si="139"/>
        <v>0</v>
      </c>
      <c r="U762" s="137">
        <f t="shared" si="143"/>
        <v>0</v>
      </c>
      <c r="V762" s="137">
        <v>0</v>
      </c>
      <c r="W762" s="137">
        <f t="shared" si="144"/>
        <v>0</v>
      </c>
      <c r="X762" s="137">
        <f t="shared" si="140"/>
        <v>0</v>
      </c>
      <c r="Y762" s="137">
        <f t="shared" si="145"/>
        <v>0</v>
      </c>
      <c r="Z762" s="137">
        <v>130762.88</v>
      </c>
      <c r="AA762" s="137">
        <f t="shared" si="141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2"/>
        <v>130762.88</v>
      </c>
      <c r="AD762" s="137">
        <f t="shared" si="152"/>
        <v>128183.88962609286</v>
      </c>
      <c r="AE762" s="138">
        <v>0.31559999999999999</v>
      </c>
      <c r="AF762" s="137">
        <f t="shared" si="151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hidden="1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718</v>
      </c>
      <c r="G763" s="131" t="s">
        <v>719</v>
      </c>
      <c r="H763" s="131" t="s">
        <v>719</v>
      </c>
      <c r="I763" s="131" t="s">
        <v>202</v>
      </c>
      <c r="J763" s="119" t="s">
        <v>572</v>
      </c>
      <c r="K763" s="119" t="s">
        <v>573</v>
      </c>
      <c r="L763" s="119" t="s">
        <v>828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9"/>
        <v>0</v>
      </c>
      <c r="U763" s="137">
        <f t="shared" si="143"/>
        <v>0</v>
      </c>
      <c r="V763" s="137">
        <v>0</v>
      </c>
      <c r="W763" s="137">
        <f t="shared" si="144"/>
        <v>0</v>
      </c>
      <c r="X763" s="137">
        <f t="shared" si="140"/>
        <v>0</v>
      </c>
      <c r="Y763" s="137">
        <f t="shared" si="145"/>
        <v>0</v>
      </c>
      <c r="Z763" s="137">
        <v>94895.49</v>
      </c>
      <c r="AA763" s="137">
        <f t="shared" si="141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2"/>
        <v>7029.2955555555673</v>
      </c>
      <c r="AD763" s="137">
        <f t="shared" si="152"/>
        <v>93023.899566711887</v>
      </c>
      <c r="AE763" s="138">
        <v>0.31559999999999999</v>
      </c>
      <c r="AF763" s="137">
        <f t="shared" si="151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hidden="1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718</v>
      </c>
      <c r="G764" s="131" t="s">
        <v>719</v>
      </c>
      <c r="H764" s="131" t="s">
        <v>719</v>
      </c>
      <c r="I764" s="131" t="s">
        <v>202</v>
      </c>
      <c r="J764" s="119" t="s">
        <v>572</v>
      </c>
      <c r="K764" s="119" t="s">
        <v>573</v>
      </c>
      <c r="L764" s="119" t="s">
        <v>827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9"/>
        <v>0</v>
      </c>
      <c r="U764" s="137">
        <f t="shared" si="143"/>
        <v>0</v>
      </c>
      <c r="V764" s="137">
        <v>0</v>
      </c>
      <c r="W764" s="137">
        <f t="shared" si="144"/>
        <v>0</v>
      </c>
      <c r="X764" s="137">
        <f t="shared" si="140"/>
        <v>0</v>
      </c>
      <c r="Y764" s="137">
        <f t="shared" si="145"/>
        <v>0</v>
      </c>
      <c r="Z764" s="137">
        <v>71433.94</v>
      </c>
      <c r="AA764" s="137">
        <f t="shared" si="141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2"/>
        <v>5291.4029629629658</v>
      </c>
      <c r="AD764" s="137">
        <f t="shared" si="152"/>
        <v>70025.073480462801</v>
      </c>
      <c r="AE764" s="138">
        <v>0.31559999999999999</v>
      </c>
      <c r="AF764" s="137">
        <f t="shared" si="151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hidden="1" customHeight="1" x14ac:dyDescent="0.3">
      <c r="A765" s="119">
        <v>2017</v>
      </c>
      <c r="B765" s="119" t="s">
        <v>197</v>
      </c>
      <c r="C765" s="119" t="s">
        <v>38</v>
      </c>
      <c r="D765" s="119" t="s">
        <v>830</v>
      </c>
      <c r="F765" s="131" t="s">
        <v>454</v>
      </c>
      <c r="G765" s="131" t="s">
        <v>707</v>
      </c>
      <c r="H765" s="131" t="s">
        <v>707</v>
      </c>
      <c r="I765" s="131" t="s">
        <v>202</v>
      </c>
      <c r="J765" s="119" t="s">
        <v>572</v>
      </c>
      <c r="K765" s="119" t="s">
        <v>573</v>
      </c>
      <c r="L765" s="119" t="s">
        <v>454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9"/>
        <v>0</v>
      </c>
      <c r="U765" s="137">
        <f t="shared" si="143"/>
        <v>0</v>
      </c>
      <c r="V765" s="137">
        <v>0</v>
      </c>
      <c r="W765" s="137">
        <f t="shared" si="144"/>
        <v>0</v>
      </c>
      <c r="X765" s="137">
        <f t="shared" si="140"/>
        <v>0</v>
      </c>
      <c r="Y765" s="137">
        <f t="shared" si="145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2"/>
        <v>9811.5999999999985</v>
      </c>
      <c r="AD765" s="137">
        <f t="shared" si="152"/>
        <v>52316.225894359508</v>
      </c>
      <c r="AE765" s="138">
        <v>0.31559999999999999</v>
      </c>
      <c r="AF765" s="137">
        <f t="shared" si="151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608</v>
      </c>
      <c r="AM765" s="131" t="s">
        <v>206</v>
      </c>
    </row>
    <row r="766" spans="1:39" s="119" customFormat="1" ht="15" hidden="1" customHeight="1" x14ac:dyDescent="0.3">
      <c r="A766" s="119">
        <v>2017</v>
      </c>
      <c r="B766" s="119" t="s">
        <v>197</v>
      </c>
      <c r="C766" s="119" t="s">
        <v>58</v>
      </c>
      <c r="D766" s="119" t="s">
        <v>714</v>
      </c>
      <c r="F766" s="131" t="s">
        <v>847</v>
      </c>
      <c r="G766" s="131"/>
      <c r="H766" s="131"/>
      <c r="I766" s="131" t="s">
        <v>202</v>
      </c>
      <c r="J766" s="119" t="s">
        <v>572</v>
      </c>
      <c r="K766" s="119" t="s">
        <v>573</v>
      </c>
      <c r="L766" s="119" t="s">
        <v>847</v>
      </c>
      <c r="M766" s="119" t="s">
        <v>183</v>
      </c>
      <c r="N766" s="135">
        <v>0</v>
      </c>
      <c r="O766" s="135" t="s">
        <v>46</v>
      </c>
      <c r="P766" s="135" t="s">
        <v>848</v>
      </c>
      <c r="Q766" s="137">
        <v>0</v>
      </c>
      <c r="R766" s="137">
        <v>0</v>
      </c>
      <c r="S766" s="137"/>
      <c r="T766" s="137">
        <f t="shared" si="139"/>
        <v>0</v>
      </c>
      <c r="U766" s="137">
        <f t="shared" si="143"/>
        <v>0</v>
      </c>
      <c r="V766" s="137">
        <v>0</v>
      </c>
      <c r="W766" s="137">
        <f t="shared" si="144"/>
        <v>0</v>
      </c>
      <c r="X766" s="137">
        <f t="shared" si="140"/>
        <v>0</v>
      </c>
      <c r="Y766" s="137">
        <f t="shared" si="145"/>
        <v>0</v>
      </c>
      <c r="Z766" s="137">
        <v>45618.81</v>
      </c>
      <c r="AA766" s="137">
        <f t="shared" si="141"/>
        <v>-45618.81</v>
      </c>
      <c r="AB766" s="146">
        <v>0</v>
      </c>
      <c r="AC766" s="147">
        <f t="shared" si="142"/>
        <v>45618.81</v>
      </c>
      <c r="AD766" s="137">
        <f t="shared" si="152"/>
        <v>44719.08622625703</v>
      </c>
      <c r="AE766" s="138">
        <v>0.31559999999999999</v>
      </c>
      <c r="AF766" s="137">
        <f t="shared" si="151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hidden="1" customHeight="1" x14ac:dyDescent="0.3">
      <c r="A767" s="119">
        <v>2017</v>
      </c>
      <c r="B767" s="119" t="s">
        <v>37</v>
      </c>
      <c r="C767" s="119" t="s">
        <v>38</v>
      </c>
      <c r="D767" s="119" t="s">
        <v>830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572</v>
      </c>
      <c r="K767" s="119" t="s">
        <v>573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9"/>
        <v>0</v>
      </c>
      <c r="U767" s="137">
        <f t="shared" si="143"/>
        <v>0</v>
      </c>
      <c r="V767" s="137">
        <v>0</v>
      </c>
      <c r="W767" s="137">
        <f t="shared" si="144"/>
        <v>0</v>
      </c>
      <c r="X767" s="137">
        <f t="shared" si="140"/>
        <v>0</v>
      </c>
      <c r="Y767" s="137">
        <f t="shared" si="145"/>
        <v>0</v>
      </c>
      <c r="Z767" s="137">
        <v>22857.82</v>
      </c>
      <c r="AA767" s="137">
        <f t="shared" si="141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2"/>
        <v>448.19254901960812</v>
      </c>
      <c r="AD767" s="137">
        <f t="shared" si="152"/>
        <v>22407.003241081089</v>
      </c>
      <c r="AE767" s="138">
        <v>0.31559999999999999</v>
      </c>
      <c r="AF767" s="137">
        <f t="shared" si="151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hidden="1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572</v>
      </c>
      <c r="K768" s="119" t="s">
        <v>573</v>
      </c>
      <c r="L768" s="119" t="s">
        <v>561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9"/>
        <v>0</v>
      </c>
      <c r="U768" s="137">
        <f t="shared" si="143"/>
        <v>0</v>
      </c>
      <c r="V768" s="137">
        <v>0</v>
      </c>
      <c r="W768" s="137">
        <f t="shared" si="144"/>
        <v>0</v>
      </c>
      <c r="X768" s="137">
        <f t="shared" si="140"/>
        <v>0</v>
      </c>
      <c r="Y768" s="137">
        <f t="shared" si="145"/>
        <v>0</v>
      </c>
      <c r="Z768" s="137">
        <v>16013.13</v>
      </c>
      <c r="AA768" s="137">
        <f t="shared" si="141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2"/>
        <v>1322.1850458715599</v>
      </c>
      <c r="AD768" s="137">
        <f t="shared" si="152"/>
        <v>15697.308658912041</v>
      </c>
      <c r="AE768" s="138">
        <v>0.31559999999999999</v>
      </c>
      <c r="AF768" s="137">
        <f t="shared" si="151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hidden="1" customHeight="1" x14ac:dyDescent="0.3">
      <c r="A769" s="119">
        <v>2017</v>
      </c>
      <c r="B769" s="119" t="s">
        <v>37</v>
      </c>
      <c r="C769" s="119" t="s">
        <v>74</v>
      </c>
      <c r="D769" s="119" t="s">
        <v>515</v>
      </c>
      <c r="F769" s="131" t="s">
        <v>645</v>
      </c>
      <c r="G769" s="131" t="s">
        <v>645</v>
      </c>
      <c r="H769" s="131" t="s">
        <v>645</v>
      </c>
      <c r="I769" s="131" t="s">
        <v>202</v>
      </c>
      <c r="J769" s="119" t="s">
        <v>572</v>
      </c>
      <c r="K769" s="119" t="s">
        <v>573</v>
      </c>
      <c r="L769" s="119" t="s">
        <v>645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9"/>
        <v>0</v>
      </c>
      <c r="U769" s="137">
        <f t="shared" si="143"/>
        <v>0</v>
      </c>
      <c r="V769" s="137">
        <v>0</v>
      </c>
      <c r="W769" s="137">
        <f t="shared" si="144"/>
        <v>0</v>
      </c>
      <c r="X769" s="137">
        <f t="shared" si="140"/>
        <v>0</v>
      </c>
      <c r="Y769" s="137">
        <f t="shared" si="145"/>
        <v>0</v>
      </c>
      <c r="Z769" s="137">
        <v>15150.42</v>
      </c>
      <c r="AA769" s="137">
        <f t="shared" si="141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2"/>
        <v>13550.42</v>
      </c>
      <c r="AD769" s="137">
        <f t="shared" si="152"/>
        <v>14851.613585361149</v>
      </c>
      <c r="AE769" s="138">
        <v>0.31559999999999999</v>
      </c>
      <c r="AF769" s="137">
        <f t="shared" si="151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hidden="1" customHeight="1" x14ac:dyDescent="0.3">
      <c r="A770" s="119">
        <v>2017</v>
      </c>
      <c r="C770" s="119" t="s">
        <v>74</v>
      </c>
      <c r="D770" s="119" t="s">
        <v>515</v>
      </c>
      <c r="F770" s="131" t="s">
        <v>835</v>
      </c>
      <c r="G770" s="131"/>
      <c r="H770" s="131"/>
      <c r="I770" s="131" t="s">
        <v>202</v>
      </c>
      <c r="J770" s="119" t="s">
        <v>572</v>
      </c>
      <c r="K770" s="119" t="s">
        <v>573</v>
      </c>
      <c r="L770" s="119" t="s">
        <v>835</v>
      </c>
      <c r="M770" s="119" t="s">
        <v>183</v>
      </c>
      <c r="N770" s="135">
        <v>0</v>
      </c>
      <c r="O770" s="135" t="s">
        <v>46</v>
      </c>
      <c r="P770" s="135" t="s">
        <v>848</v>
      </c>
      <c r="Q770" s="137">
        <v>9520.24</v>
      </c>
      <c r="R770" s="137">
        <v>0</v>
      </c>
      <c r="S770" s="137"/>
      <c r="T770" s="137">
        <f t="shared" ref="T770:T833" si="153">S770*N770</f>
        <v>0</v>
      </c>
      <c r="U770" s="137">
        <f t="shared" si="143"/>
        <v>0</v>
      </c>
      <c r="V770" s="137">
        <v>0</v>
      </c>
      <c r="W770" s="137">
        <f t="shared" si="144"/>
        <v>0</v>
      </c>
      <c r="X770" s="137">
        <f t="shared" ref="X770:X833" si="154">W770/(1+N770)</f>
        <v>0</v>
      </c>
      <c r="Y770" s="137">
        <f t="shared" si="145"/>
        <v>0</v>
      </c>
      <c r="Z770" s="137">
        <v>12428.74</v>
      </c>
      <c r="AA770" s="137">
        <f t="shared" ref="AA770:AA833" si="155">Q770+V770-Z770</f>
        <v>-2908.5</v>
      </c>
      <c r="AB770" s="146">
        <v>0</v>
      </c>
      <c r="AC770" s="147">
        <f t="shared" ref="AC770:AC833" si="156">IF(O770="返现",Z770*N770,Z770-AB770)</f>
        <v>12428.74</v>
      </c>
      <c r="AD770" s="137">
        <f t="shared" si="152"/>
        <v>12183.612324471633</v>
      </c>
      <c r="AE770" s="138">
        <v>0.31559999999999999</v>
      </c>
      <c r="AF770" s="137">
        <f t="shared" si="151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hidden="1" customHeight="1" x14ac:dyDescent="0.3">
      <c r="A771" s="119">
        <v>2017</v>
      </c>
      <c r="B771" s="119" t="s">
        <v>37</v>
      </c>
      <c r="C771" s="119" t="s">
        <v>87</v>
      </c>
      <c r="F771" s="131" t="s">
        <v>852</v>
      </c>
      <c r="G771" s="131" t="s">
        <v>852</v>
      </c>
      <c r="H771" s="131" t="s">
        <v>852</v>
      </c>
      <c r="I771" s="131" t="s">
        <v>202</v>
      </c>
      <c r="J771" s="119" t="s">
        <v>572</v>
      </c>
      <c r="K771" s="119" t="s">
        <v>573</v>
      </c>
      <c r="L771" s="119" t="s">
        <v>852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3"/>
        <v>0</v>
      </c>
      <c r="U771" s="137">
        <f t="shared" ref="U771:U834" si="157">R771+S771+T771</f>
        <v>0</v>
      </c>
      <c r="V771" s="137">
        <v>0</v>
      </c>
      <c r="W771" s="137">
        <f t="shared" ref="W771:W834" si="158">U771-V771</f>
        <v>0</v>
      </c>
      <c r="X771" s="137">
        <f t="shared" si="154"/>
        <v>0</v>
      </c>
      <c r="Y771" s="137">
        <f t="shared" ref="Y771:Y834" si="159">W771-X771</f>
        <v>0</v>
      </c>
      <c r="Z771" s="137">
        <v>11459.78</v>
      </c>
      <c r="AA771" s="137">
        <f t="shared" si="155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6"/>
        <v>1407.3414035087735</v>
      </c>
      <c r="AD771" s="137">
        <f t="shared" si="152"/>
        <v>11233.762782368409</v>
      </c>
      <c r="AE771" s="138">
        <v>0.31559999999999999</v>
      </c>
      <c r="AF771" s="137">
        <f t="shared" si="151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hidden="1" customHeight="1" x14ac:dyDescent="0.3">
      <c r="A772" s="119">
        <v>2017</v>
      </c>
      <c r="B772" s="119" t="s">
        <v>37</v>
      </c>
      <c r="C772" s="119" t="s">
        <v>74</v>
      </c>
      <c r="D772" s="119" t="s">
        <v>853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572</v>
      </c>
      <c r="K772" s="119" t="s">
        <v>573</v>
      </c>
      <c r="L772" s="119" t="s">
        <v>854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3"/>
        <v>0</v>
      </c>
      <c r="U772" s="137">
        <f t="shared" si="157"/>
        <v>0</v>
      </c>
      <c r="V772" s="137">
        <v>0</v>
      </c>
      <c r="W772" s="137">
        <f t="shared" si="158"/>
        <v>0</v>
      </c>
      <c r="X772" s="137">
        <f t="shared" si="154"/>
        <v>0</v>
      </c>
      <c r="Y772" s="137">
        <f t="shared" si="159"/>
        <v>0</v>
      </c>
      <c r="Z772" s="137">
        <v>7772.08</v>
      </c>
      <c r="AA772" s="137">
        <f t="shared" si="155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6"/>
        <v>370.09904761904818</v>
      </c>
      <c r="AD772" s="137">
        <f t="shared" si="152"/>
        <v>7618.7939947878458</v>
      </c>
      <c r="AE772" s="138">
        <v>0.31559999999999999</v>
      </c>
      <c r="AF772" s="137">
        <f t="shared" si="151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hidden="1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801</v>
      </c>
      <c r="G773" s="131" t="s">
        <v>802</v>
      </c>
      <c r="H773" s="158" t="s">
        <v>803</v>
      </c>
      <c r="I773" s="131" t="s">
        <v>202</v>
      </c>
      <c r="J773" s="119" t="s">
        <v>572</v>
      </c>
      <c r="K773" s="119" t="s">
        <v>573</v>
      </c>
      <c r="L773" s="119" t="s">
        <v>801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3"/>
        <v>0</v>
      </c>
      <c r="U773" s="137">
        <f t="shared" si="157"/>
        <v>0</v>
      </c>
      <c r="V773" s="137">
        <v>0</v>
      </c>
      <c r="W773" s="137">
        <f t="shared" si="158"/>
        <v>0</v>
      </c>
      <c r="X773" s="137">
        <f t="shared" si="154"/>
        <v>0</v>
      </c>
      <c r="Y773" s="137">
        <f t="shared" si="159"/>
        <v>0</v>
      </c>
      <c r="Z773" s="137">
        <v>6907.3</v>
      </c>
      <c r="AA773" s="137">
        <f t="shared" si="155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6"/>
        <v>570.32752293578051</v>
      </c>
      <c r="AD773" s="137">
        <f t="shared" si="152"/>
        <v>6771.0697471202166</v>
      </c>
      <c r="AE773" s="138">
        <v>0.31559999999999999</v>
      </c>
      <c r="AF773" s="137">
        <f t="shared" si="151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hidden="1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782</v>
      </c>
      <c r="G774" s="131" t="s">
        <v>784</v>
      </c>
      <c r="H774" s="131" t="s">
        <v>784</v>
      </c>
      <c r="I774" s="131" t="s">
        <v>202</v>
      </c>
      <c r="J774" s="119" t="s">
        <v>572</v>
      </c>
      <c r="K774" s="119" t="s">
        <v>573</v>
      </c>
      <c r="L774" s="119" t="s">
        <v>785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3"/>
        <v>0</v>
      </c>
      <c r="U774" s="137">
        <f t="shared" si="157"/>
        <v>0</v>
      </c>
      <c r="V774" s="137">
        <v>0</v>
      </c>
      <c r="W774" s="137">
        <f t="shared" si="158"/>
        <v>0</v>
      </c>
      <c r="X774" s="137">
        <f t="shared" si="154"/>
        <v>0</v>
      </c>
      <c r="Y774" s="137">
        <f t="shared" si="159"/>
        <v>0</v>
      </c>
      <c r="Z774" s="137">
        <v>5800</v>
      </c>
      <c r="AA774" s="137">
        <f t="shared" si="155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6"/>
        <v>429.62962962962956</v>
      </c>
      <c r="AD774" s="137">
        <f t="shared" si="152"/>
        <v>5685.6086362684773</v>
      </c>
      <c r="AE774" s="138">
        <v>0.31559999999999999</v>
      </c>
      <c r="AF774" s="137">
        <f t="shared" si="151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hidden="1" customHeight="1" x14ac:dyDescent="0.3">
      <c r="A775" s="119">
        <v>2017</v>
      </c>
      <c r="C775" s="119" t="s">
        <v>74</v>
      </c>
      <c r="D775" s="119" t="s">
        <v>515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572</v>
      </c>
      <c r="K775" s="119" t="s">
        <v>573</v>
      </c>
      <c r="L775" s="119" t="s">
        <v>855</v>
      </c>
      <c r="M775" s="119" t="s">
        <v>183</v>
      </c>
      <c r="N775" s="135">
        <v>0</v>
      </c>
      <c r="O775" s="135" t="s">
        <v>46</v>
      </c>
      <c r="P775" s="135" t="s">
        <v>848</v>
      </c>
      <c r="Q775" s="137">
        <v>3026.4</v>
      </c>
      <c r="R775" s="137">
        <v>0</v>
      </c>
      <c r="S775" s="137"/>
      <c r="T775" s="137">
        <f t="shared" si="153"/>
        <v>0</v>
      </c>
      <c r="U775" s="137">
        <f t="shared" si="157"/>
        <v>0</v>
      </c>
      <c r="V775" s="137">
        <v>0</v>
      </c>
      <c r="W775" s="137">
        <f t="shared" si="158"/>
        <v>0</v>
      </c>
      <c r="X775" s="137">
        <f t="shared" si="154"/>
        <v>0</v>
      </c>
      <c r="Y775" s="137">
        <f t="shared" si="159"/>
        <v>0</v>
      </c>
      <c r="Z775" s="137">
        <v>2749.95</v>
      </c>
      <c r="AA775" s="137">
        <f t="shared" si="155"/>
        <v>276.45000000000027</v>
      </c>
      <c r="AB775" s="146">
        <v>0</v>
      </c>
      <c r="AC775" s="147">
        <f t="shared" si="156"/>
        <v>2749.95</v>
      </c>
      <c r="AD775" s="137">
        <f t="shared" si="152"/>
        <v>2695.7137016045685</v>
      </c>
      <c r="AE775" s="138">
        <v>0.31559999999999999</v>
      </c>
      <c r="AF775" s="137">
        <f t="shared" si="151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hidden="1" customHeight="1" x14ac:dyDescent="0.3">
      <c r="A776" s="119">
        <v>2017</v>
      </c>
      <c r="B776" s="119" t="s">
        <v>37</v>
      </c>
      <c r="C776" s="119" t="s">
        <v>74</v>
      </c>
      <c r="F776" s="131" t="s">
        <v>678</v>
      </c>
      <c r="G776" s="131" t="s">
        <v>678</v>
      </c>
      <c r="H776" s="131" t="s">
        <v>678</v>
      </c>
      <c r="I776" s="131" t="s">
        <v>202</v>
      </c>
      <c r="J776" s="119" t="s">
        <v>572</v>
      </c>
      <c r="K776" s="119" t="s">
        <v>573</v>
      </c>
      <c r="L776" s="119" t="s">
        <v>678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3"/>
        <v>0</v>
      </c>
      <c r="U776" s="137">
        <f t="shared" si="157"/>
        <v>0</v>
      </c>
      <c r="V776" s="137">
        <v>0</v>
      </c>
      <c r="W776" s="137">
        <f t="shared" si="158"/>
        <v>0</v>
      </c>
      <c r="X776" s="137">
        <f t="shared" si="154"/>
        <v>0</v>
      </c>
      <c r="Y776" s="137">
        <f t="shared" si="159"/>
        <v>0</v>
      </c>
      <c r="Z776" s="137">
        <v>1521.27</v>
      </c>
      <c r="AA776" s="137">
        <f t="shared" si="155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6"/>
        <v>198.42652173913029</v>
      </c>
      <c r="AD776" s="137">
        <f t="shared" si="152"/>
        <v>1491.266525878646</v>
      </c>
      <c r="AE776" s="138">
        <v>0.31559999999999999</v>
      </c>
      <c r="AF776" s="137">
        <f t="shared" si="151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hidden="1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131" t="s">
        <v>353</v>
      </c>
      <c r="G777" s="131" t="s">
        <v>353</v>
      </c>
      <c r="H777" s="131" t="s">
        <v>353</v>
      </c>
      <c r="I777" s="131" t="s">
        <v>202</v>
      </c>
      <c r="J777" s="119" t="s">
        <v>572</v>
      </c>
      <c r="K777" s="119" t="s">
        <v>573</v>
      </c>
      <c r="L777" s="119" t="s">
        <v>353</v>
      </c>
      <c r="M777" s="119" t="s">
        <v>592</v>
      </c>
      <c r="N777" s="136">
        <v>0</v>
      </c>
      <c r="O777" s="135" t="s">
        <v>46</v>
      </c>
      <c r="P777" s="135"/>
      <c r="Q777" s="137">
        <v>0</v>
      </c>
      <c r="R777" s="137">
        <v>0</v>
      </c>
      <c r="S777" s="137"/>
      <c r="T777" s="137">
        <f t="shared" si="153"/>
        <v>0</v>
      </c>
      <c r="U777" s="137">
        <f t="shared" si="157"/>
        <v>0</v>
      </c>
      <c r="V777" s="137">
        <v>738290</v>
      </c>
      <c r="W777" s="137">
        <f t="shared" si="158"/>
        <v>-738290</v>
      </c>
      <c r="X777" s="137">
        <f t="shared" si="154"/>
        <v>-738290</v>
      </c>
      <c r="Y777" s="137">
        <f t="shared" si="159"/>
        <v>0</v>
      </c>
      <c r="Z777" s="137">
        <v>738290</v>
      </c>
      <c r="AA777" s="137">
        <f t="shared" si="155"/>
        <v>0</v>
      </c>
      <c r="AB777" s="146">
        <f>IF(O777="返货",Z777/(1+N777),IF(O777="返现",Z777,IF(O777="折扣",Z777*N777,IF(O777="无",Z777))))</f>
        <v>738290</v>
      </c>
      <c r="AC777" s="147">
        <f t="shared" si="156"/>
        <v>0</v>
      </c>
      <c r="AD777" s="137">
        <f t="shared" si="152"/>
        <v>723728.96552942309</v>
      </c>
      <c r="AE777" s="138">
        <v>0.35339999999999999</v>
      </c>
      <c r="AF777" s="137">
        <f t="shared" si="151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hidden="1" customHeight="1" x14ac:dyDescent="0.3">
      <c r="A778" s="119">
        <v>2017</v>
      </c>
      <c r="B778" s="119" t="s">
        <v>37</v>
      </c>
      <c r="C778" s="119" t="s">
        <v>58</v>
      </c>
      <c r="D778" s="119" t="s">
        <v>714</v>
      </c>
      <c r="F778" s="131" t="s">
        <v>759</v>
      </c>
      <c r="G778" s="131" t="s">
        <v>759</v>
      </c>
      <c r="H778" s="131" t="s">
        <v>759</v>
      </c>
      <c r="I778" s="131" t="s">
        <v>202</v>
      </c>
      <c r="J778" s="119" t="s">
        <v>572</v>
      </c>
      <c r="K778" s="119" t="s">
        <v>573</v>
      </c>
      <c r="L778" s="119" t="s">
        <v>759</v>
      </c>
      <c r="M778" s="119" t="s">
        <v>592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3"/>
        <v>0</v>
      </c>
      <c r="U778" s="137">
        <f t="shared" si="157"/>
        <v>0</v>
      </c>
      <c r="V778" s="137">
        <v>210000</v>
      </c>
      <c r="W778" s="137">
        <f t="shared" si="158"/>
        <v>-210000</v>
      </c>
      <c r="X778" s="137">
        <f t="shared" si="154"/>
        <v>-194444.44444444444</v>
      </c>
      <c r="Y778" s="137">
        <f t="shared" si="159"/>
        <v>-15555.555555555562</v>
      </c>
      <c r="Z778" s="137">
        <v>210000</v>
      </c>
      <c r="AA778" s="137">
        <f t="shared" si="155"/>
        <v>0</v>
      </c>
      <c r="AB778" s="146">
        <f>IF(O778="返货",Z778/(1+N778),IF(O778="返现",Z778,IF(O778="折扣",Z778*N778,IF(O778="无",Z778))))</f>
        <v>194444.44444444444</v>
      </c>
      <c r="AC778" s="147">
        <f t="shared" si="156"/>
        <v>15555.555555555562</v>
      </c>
      <c r="AD778" s="137">
        <f t="shared" si="152"/>
        <v>205858.2437269621</v>
      </c>
      <c r="AE778" s="138">
        <v>0.35339999999999999</v>
      </c>
      <c r="AF778" s="137">
        <f t="shared" si="151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hidden="1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131" t="s">
        <v>856</v>
      </c>
      <c r="G779" s="119" t="s">
        <v>350</v>
      </c>
      <c r="H779" s="119" t="s">
        <v>350</v>
      </c>
      <c r="I779" s="163" t="s">
        <v>202</v>
      </c>
      <c r="J779" s="119" t="s">
        <v>572</v>
      </c>
      <c r="K779" s="119" t="s">
        <v>573</v>
      </c>
      <c r="L779" s="119" t="s">
        <v>350</v>
      </c>
      <c r="M779" s="119" t="s">
        <v>158</v>
      </c>
      <c r="N779" s="135">
        <v>0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3"/>
        <v>0</v>
      </c>
      <c r="U779" s="137">
        <f t="shared" si="157"/>
        <v>0</v>
      </c>
      <c r="V779" s="137">
        <v>235000</v>
      </c>
      <c r="W779" s="137">
        <f t="shared" si="158"/>
        <v>-235000</v>
      </c>
      <c r="X779" s="137">
        <f t="shared" si="154"/>
        <v>-235000</v>
      </c>
      <c r="Y779" s="137">
        <f t="shared" si="159"/>
        <v>0</v>
      </c>
      <c r="Z779" s="137">
        <v>285000</v>
      </c>
      <c r="AA779" s="137">
        <f t="shared" si="155"/>
        <v>-50000</v>
      </c>
      <c r="AB779" s="146">
        <f>IF(O779="返货",Z779/(1+N779),IF(O779="返现",Z779,IF(O779="折扣",Z779*N779,IF(O779="无",Z779))))</f>
        <v>285000</v>
      </c>
      <c r="AC779" s="147">
        <f t="shared" si="156"/>
        <v>0</v>
      </c>
      <c r="AD779" s="137">
        <f t="shared" si="152"/>
        <v>279379.04505801998</v>
      </c>
      <c r="AE779" s="138">
        <v>0.31559999999999999</v>
      </c>
      <c r="AF779" s="137">
        <f t="shared" si="151"/>
        <v>88172.02662031111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hidden="1" customHeight="1" x14ac:dyDescent="0.3">
      <c r="A780" s="119">
        <v>2017</v>
      </c>
      <c r="C780" s="119" t="s">
        <v>74</v>
      </c>
      <c r="D780" s="119" t="s">
        <v>515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572</v>
      </c>
      <c r="K780" s="119" t="s">
        <v>573</v>
      </c>
      <c r="L780" s="119" t="s">
        <v>857</v>
      </c>
      <c r="M780" s="119" t="s">
        <v>45</v>
      </c>
      <c r="N780" s="135">
        <v>0</v>
      </c>
      <c r="O780" s="135" t="s">
        <v>46</v>
      </c>
      <c r="P780" s="135" t="s">
        <v>848</v>
      </c>
      <c r="Q780" s="137">
        <v>441.77</v>
      </c>
      <c r="R780" s="137">
        <v>0</v>
      </c>
      <c r="S780" s="137"/>
      <c r="T780" s="137">
        <f t="shared" si="153"/>
        <v>0</v>
      </c>
      <c r="U780" s="137">
        <f t="shared" si="157"/>
        <v>0</v>
      </c>
      <c r="V780" s="137">
        <v>0</v>
      </c>
      <c r="W780" s="137">
        <f t="shared" si="158"/>
        <v>0</v>
      </c>
      <c r="X780" s="137">
        <f t="shared" si="154"/>
        <v>0</v>
      </c>
      <c r="Y780" s="137">
        <f t="shared" si="159"/>
        <v>0</v>
      </c>
      <c r="Z780" s="137">
        <v>0</v>
      </c>
      <c r="AA780" s="137">
        <f t="shared" si="155"/>
        <v>441.77</v>
      </c>
      <c r="AB780" s="146">
        <v>0</v>
      </c>
      <c r="AC780" s="147">
        <f t="shared" si="156"/>
        <v>0</v>
      </c>
      <c r="AD780" s="137">
        <f t="shared" si="152"/>
        <v>0</v>
      </c>
      <c r="AE780" s="138">
        <v>0.1077</v>
      </c>
      <c r="AF780" s="137">
        <f t="shared" si="151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hidden="1" customHeight="1" x14ac:dyDescent="0.3">
      <c r="A781" s="119">
        <v>2017</v>
      </c>
      <c r="C781" s="119" t="s">
        <v>58</v>
      </c>
      <c r="D781" s="119" t="s">
        <v>714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572</v>
      </c>
      <c r="K781" s="119" t="s">
        <v>573</v>
      </c>
      <c r="L781" s="119" t="s">
        <v>858</v>
      </c>
      <c r="M781" s="119" t="s">
        <v>45</v>
      </c>
      <c r="N781" s="135">
        <v>0</v>
      </c>
      <c r="O781" s="135" t="s">
        <v>46</v>
      </c>
      <c r="P781" s="135" t="s">
        <v>848</v>
      </c>
      <c r="Q781" s="137">
        <v>124</v>
      </c>
      <c r="R781" s="137">
        <v>0</v>
      </c>
      <c r="S781" s="137"/>
      <c r="T781" s="137">
        <f t="shared" si="153"/>
        <v>0</v>
      </c>
      <c r="U781" s="137">
        <f t="shared" si="157"/>
        <v>0</v>
      </c>
      <c r="V781" s="137">
        <v>0</v>
      </c>
      <c r="W781" s="137">
        <f t="shared" si="158"/>
        <v>0</v>
      </c>
      <c r="X781" s="137">
        <f t="shared" si="154"/>
        <v>0</v>
      </c>
      <c r="Y781" s="137">
        <f t="shared" si="159"/>
        <v>0</v>
      </c>
      <c r="Z781" s="137">
        <v>0</v>
      </c>
      <c r="AA781" s="137">
        <f t="shared" si="155"/>
        <v>124</v>
      </c>
      <c r="AB781" s="146">
        <v>0</v>
      </c>
      <c r="AC781" s="147">
        <f t="shared" si="156"/>
        <v>0</v>
      </c>
      <c r="AD781" s="137">
        <f t="shared" si="152"/>
        <v>0</v>
      </c>
      <c r="AE781" s="138">
        <v>0.1077</v>
      </c>
      <c r="AF781" s="137">
        <f t="shared" si="151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hidden="1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572</v>
      </c>
      <c r="K782" s="119" t="s">
        <v>573</v>
      </c>
      <c r="L782" s="119" t="s">
        <v>859</v>
      </c>
      <c r="M782" s="119" t="s">
        <v>45</v>
      </c>
      <c r="N782" s="135">
        <v>0</v>
      </c>
      <c r="O782" s="135" t="s">
        <v>46</v>
      </c>
      <c r="P782" s="135" t="s">
        <v>848</v>
      </c>
      <c r="Q782" s="137">
        <v>4.6100000000000003</v>
      </c>
      <c r="R782" s="137">
        <v>0</v>
      </c>
      <c r="S782" s="137"/>
      <c r="T782" s="137">
        <f t="shared" si="153"/>
        <v>0</v>
      </c>
      <c r="U782" s="137">
        <f t="shared" si="157"/>
        <v>0</v>
      </c>
      <c r="V782" s="137">
        <v>0</v>
      </c>
      <c r="W782" s="137">
        <f t="shared" si="158"/>
        <v>0</v>
      </c>
      <c r="X782" s="137">
        <f t="shared" si="154"/>
        <v>0</v>
      </c>
      <c r="Y782" s="137">
        <f t="shared" si="159"/>
        <v>0</v>
      </c>
      <c r="Z782" s="137">
        <v>0</v>
      </c>
      <c r="AA782" s="137">
        <f t="shared" si="155"/>
        <v>4.6100000000000003</v>
      </c>
      <c r="AB782" s="146">
        <v>0</v>
      </c>
      <c r="AC782" s="147">
        <f t="shared" si="156"/>
        <v>0</v>
      </c>
      <c r="AD782" s="137">
        <f t="shared" si="152"/>
        <v>0</v>
      </c>
      <c r="AE782" s="138">
        <v>0.1077</v>
      </c>
      <c r="AF782" s="137">
        <f t="shared" si="151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hidden="1" customHeight="1" x14ac:dyDescent="0.3">
      <c r="A783" s="119">
        <v>2017</v>
      </c>
      <c r="C783" s="119" t="s">
        <v>74</v>
      </c>
      <c r="D783" s="119" t="s">
        <v>515</v>
      </c>
      <c r="F783" s="131" t="s">
        <v>841</v>
      </c>
      <c r="G783" s="131"/>
      <c r="H783" s="131"/>
      <c r="I783" s="131" t="s">
        <v>202</v>
      </c>
      <c r="J783" s="119" t="s">
        <v>572</v>
      </c>
      <c r="K783" s="119" t="s">
        <v>573</v>
      </c>
      <c r="L783" s="119" t="s">
        <v>841</v>
      </c>
      <c r="M783" s="119" t="s">
        <v>183</v>
      </c>
      <c r="N783" s="135">
        <v>0</v>
      </c>
      <c r="O783" s="135" t="s">
        <v>46</v>
      </c>
      <c r="P783" s="135" t="s">
        <v>850</v>
      </c>
      <c r="Q783" s="137">
        <v>298993.20799999998</v>
      </c>
      <c r="R783" s="137">
        <v>0</v>
      </c>
      <c r="S783" s="137"/>
      <c r="T783" s="137">
        <f t="shared" si="153"/>
        <v>0</v>
      </c>
      <c r="U783" s="137">
        <f t="shared" si="157"/>
        <v>0</v>
      </c>
      <c r="V783" s="137">
        <v>0</v>
      </c>
      <c r="W783" s="137">
        <f t="shared" si="158"/>
        <v>0</v>
      </c>
      <c r="X783" s="137">
        <f t="shared" si="154"/>
        <v>0</v>
      </c>
      <c r="Y783" s="137">
        <f t="shared" si="159"/>
        <v>0</v>
      </c>
      <c r="Z783" s="137">
        <v>0</v>
      </c>
      <c r="AA783" s="137">
        <f t="shared" si="155"/>
        <v>298993.20799999998</v>
      </c>
      <c r="AB783" s="146">
        <v>0</v>
      </c>
      <c r="AC783" s="147">
        <f t="shared" si="156"/>
        <v>0</v>
      </c>
      <c r="AD783" s="137">
        <f t="shared" si="152"/>
        <v>0</v>
      </c>
      <c r="AE783" s="138">
        <v>0.31559999999999999</v>
      </c>
      <c r="AF783" s="137">
        <f t="shared" si="151"/>
        <v>0</v>
      </c>
      <c r="AG783" s="137">
        <v>0</v>
      </c>
      <c r="AH783" s="154"/>
      <c r="AI783" s="154"/>
      <c r="AJ783" s="135" t="e">
        <v>#N/A</v>
      </c>
      <c r="AL783" s="119" t="s">
        <v>842</v>
      </c>
      <c r="AM783" s="131" t="s">
        <v>206</v>
      </c>
    </row>
    <row r="784" spans="1:39" s="119" customFormat="1" ht="15" hidden="1" customHeight="1" x14ac:dyDescent="0.3">
      <c r="A784" s="119">
        <v>2017</v>
      </c>
      <c r="C784" s="119" t="s">
        <v>58</v>
      </c>
      <c r="D784" s="119" t="s">
        <v>714</v>
      </c>
      <c r="F784" s="131" t="s">
        <v>840</v>
      </c>
      <c r="G784" s="131"/>
      <c r="H784" s="131"/>
      <c r="I784" s="131" t="s">
        <v>202</v>
      </c>
      <c r="J784" s="119" t="s">
        <v>572</v>
      </c>
      <c r="K784" s="119" t="s">
        <v>573</v>
      </c>
      <c r="L784" s="119" t="s">
        <v>840</v>
      </c>
      <c r="M784" s="119" t="s">
        <v>183</v>
      </c>
      <c r="N784" s="135">
        <v>0</v>
      </c>
      <c r="O784" s="135" t="s">
        <v>46</v>
      </c>
      <c r="P784" s="135" t="s">
        <v>850</v>
      </c>
      <c r="Q784" s="137">
        <v>183851.12</v>
      </c>
      <c r="R784" s="137">
        <v>0</v>
      </c>
      <c r="S784" s="137"/>
      <c r="T784" s="137">
        <f t="shared" si="153"/>
        <v>0</v>
      </c>
      <c r="U784" s="137">
        <f t="shared" si="157"/>
        <v>0</v>
      </c>
      <c r="V784" s="137">
        <v>0</v>
      </c>
      <c r="W784" s="137">
        <f t="shared" si="158"/>
        <v>0</v>
      </c>
      <c r="X784" s="137">
        <f t="shared" si="154"/>
        <v>0</v>
      </c>
      <c r="Y784" s="137">
        <f t="shared" si="159"/>
        <v>0</v>
      </c>
      <c r="Z784" s="137">
        <v>0</v>
      </c>
      <c r="AA784" s="137">
        <f t="shared" si="155"/>
        <v>183851.12</v>
      </c>
      <c r="AB784" s="146">
        <v>0</v>
      </c>
      <c r="AC784" s="147">
        <f t="shared" si="156"/>
        <v>0</v>
      </c>
      <c r="AD784" s="137">
        <f t="shared" si="152"/>
        <v>0</v>
      </c>
      <c r="AE784" s="138">
        <v>0.31559999999999999</v>
      </c>
      <c r="AF784" s="137">
        <f t="shared" si="151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hidden="1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687</v>
      </c>
      <c r="G785" s="131" t="s">
        <v>687</v>
      </c>
      <c r="H785" s="131" t="s">
        <v>687</v>
      </c>
      <c r="I785" s="131" t="s">
        <v>202</v>
      </c>
      <c r="J785" s="119" t="s">
        <v>572</v>
      </c>
      <c r="K785" s="119" t="s">
        <v>573</v>
      </c>
      <c r="L785" s="119" t="s">
        <v>687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3"/>
        <v>0</v>
      </c>
      <c r="U785" s="137">
        <f t="shared" si="157"/>
        <v>0</v>
      </c>
      <c r="V785" s="137">
        <v>0</v>
      </c>
      <c r="W785" s="137">
        <f t="shared" si="158"/>
        <v>0</v>
      </c>
      <c r="X785" s="137">
        <f t="shared" si="154"/>
        <v>0</v>
      </c>
      <c r="Y785" s="137">
        <f t="shared" si="159"/>
        <v>0</v>
      </c>
      <c r="Z785" s="137">
        <v>0</v>
      </c>
      <c r="AA785" s="137">
        <f t="shared" si="155"/>
        <v>9882.9699999999993</v>
      </c>
      <c r="AB785" s="146">
        <f>(Z785-Q785)/(1+N785)</f>
        <v>-9689.1862745098024</v>
      </c>
      <c r="AC785" s="147">
        <f t="shared" si="156"/>
        <v>9689.1862745098024</v>
      </c>
      <c r="AD785" s="137">
        <f t="shared" si="152"/>
        <v>0</v>
      </c>
      <c r="AE785" s="138">
        <v>0.31559999999999999</v>
      </c>
      <c r="AF785" s="137">
        <f t="shared" si="151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hidden="1" customHeight="1" x14ac:dyDescent="0.3">
      <c r="A786" s="119">
        <v>2017</v>
      </c>
      <c r="C786" s="119" t="s">
        <v>74</v>
      </c>
      <c r="D786" s="119" t="s">
        <v>515</v>
      </c>
      <c r="F786" s="131" t="s">
        <v>844</v>
      </c>
      <c r="G786" s="131"/>
      <c r="H786" s="131"/>
      <c r="I786" s="131" t="s">
        <v>202</v>
      </c>
      <c r="J786" s="119" t="s">
        <v>572</v>
      </c>
      <c r="K786" s="119" t="s">
        <v>573</v>
      </c>
      <c r="L786" s="119" t="s">
        <v>844</v>
      </c>
      <c r="M786" s="119" t="s">
        <v>183</v>
      </c>
      <c r="N786" s="135">
        <v>0</v>
      </c>
      <c r="O786" s="135" t="s">
        <v>46</v>
      </c>
      <c r="P786" s="135" t="s">
        <v>848</v>
      </c>
      <c r="Q786" s="137">
        <v>9199.4</v>
      </c>
      <c r="R786" s="137">
        <v>0</v>
      </c>
      <c r="S786" s="137"/>
      <c r="T786" s="137">
        <f t="shared" si="153"/>
        <v>0</v>
      </c>
      <c r="U786" s="137">
        <f t="shared" si="157"/>
        <v>0</v>
      </c>
      <c r="V786" s="137">
        <v>0</v>
      </c>
      <c r="W786" s="137">
        <f t="shared" si="158"/>
        <v>0</v>
      </c>
      <c r="X786" s="137">
        <f t="shared" si="154"/>
        <v>0</v>
      </c>
      <c r="Y786" s="137">
        <f t="shared" si="159"/>
        <v>0</v>
      </c>
      <c r="Z786" s="137">
        <v>0</v>
      </c>
      <c r="AA786" s="137">
        <f t="shared" si="155"/>
        <v>9199.4</v>
      </c>
      <c r="AB786" s="146">
        <v>0</v>
      </c>
      <c r="AC786" s="147">
        <f t="shared" si="156"/>
        <v>0</v>
      </c>
      <c r="AD786" s="137">
        <f t="shared" si="152"/>
        <v>0</v>
      </c>
      <c r="AE786" s="138">
        <v>0.31559999999999999</v>
      </c>
      <c r="AF786" s="137">
        <f t="shared" si="151"/>
        <v>0</v>
      </c>
      <c r="AG786" s="137">
        <v>0</v>
      </c>
      <c r="AH786" s="154"/>
      <c r="AI786" s="154"/>
      <c r="AJ786" s="135" t="e">
        <v>#N/A</v>
      </c>
      <c r="AL786" s="119" t="s">
        <v>586</v>
      </c>
      <c r="AM786" s="131" t="s">
        <v>206</v>
      </c>
    </row>
    <row r="787" spans="1:39" s="119" customFormat="1" ht="15" hidden="1" customHeight="1" x14ac:dyDescent="0.3">
      <c r="A787" s="119">
        <v>2017</v>
      </c>
      <c r="C787" s="119" t="s">
        <v>74</v>
      </c>
      <c r="D787" s="119" t="s">
        <v>515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572</v>
      </c>
      <c r="K787" s="119" t="s">
        <v>573</v>
      </c>
      <c r="L787" s="119" t="s">
        <v>857</v>
      </c>
      <c r="M787" s="119" t="s">
        <v>183</v>
      </c>
      <c r="N787" s="135">
        <v>0</v>
      </c>
      <c r="O787" s="135" t="s">
        <v>46</v>
      </c>
      <c r="P787" s="135" t="s">
        <v>848</v>
      </c>
      <c r="Q787" s="137">
        <v>7573.24</v>
      </c>
      <c r="R787" s="137">
        <v>0</v>
      </c>
      <c r="S787" s="137"/>
      <c r="T787" s="137">
        <f t="shared" si="153"/>
        <v>0</v>
      </c>
      <c r="U787" s="137">
        <f t="shared" si="157"/>
        <v>0</v>
      </c>
      <c r="V787" s="137">
        <v>0</v>
      </c>
      <c r="W787" s="137">
        <f t="shared" si="158"/>
        <v>0</v>
      </c>
      <c r="X787" s="137">
        <f t="shared" si="154"/>
        <v>0</v>
      </c>
      <c r="Y787" s="137">
        <f t="shared" si="159"/>
        <v>0</v>
      </c>
      <c r="Z787" s="137">
        <v>0</v>
      </c>
      <c r="AA787" s="137">
        <f t="shared" si="155"/>
        <v>7573.24</v>
      </c>
      <c r="AB787" s="146">
        <v>0</v>
      </c>
      <c r="AC787" s="147">
        <f t="shared" si="156"/>
        <v>0</v>
      </c>
      <c r="AD787" s="137">
        <f t="shared" si="152"/>
        <v>0</v>
      </c>
      <c r="AE787" s="138">
        <v>0.31559999999999999</v>
      </c>
      <c r="AF787" s="137">
        <f t="shared" si="151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hidden="1" customHeight="1" x14ac:dyDescent="0.3">
      <c r="A788" s="119">
        <v>2017</v>
      </c>
      <c r="C788" s="119" t="s">
        <v>58</v>
      </c>
      <c r="F788" s="131" t="s">
        <v>860</v>
      </c>
      <c r="G788" s="131"/>
      <c r="H788" s="131"/>
      <c r="I788" s="131" t="s">
        <v>202</v>
      </c>
      <c r="J788" s="119" t="s">
        <v>572</v>
      </c>
      <c r="K788" s="119" t="s">
        <v>573</v>
      </c>
      <c r="L788" s="119" t="s">
        <v>860</v>
      </c>
      <c r="M788" s="119" t="s">
        <v>183</v>
      </c>
      <c r="N788" s="135">
        <v>0</v>
      </c>
      <c r="O788" s="135" t="s">
        <v>46</v>
      </c>
      <c r="P788" s="135" t="s">
        <v>848</v>
      </c>
      <c r="Q788" s="137">
        <v>4448.95</v>
      </c>
      <c r="R788" s="137">
        <v>0</v>
      </c>
      <c r="S788" s="137"/>
      <c r="T788" s="137">
        <f t="shared" si="153"/>
        <v>0</v>
      </c>
      <c r="U788" s="137">
        <f t="shared" si="157"/>
        <v>0</v>
      </c>
      <c r="V788" s="137">
        <v>0</v>
      </c>
      <c r="W788" s="137">
        <f t="shared" si="158"/>
        <v>0</v>
      </c>
      <c r="X788" s="137">
        <f t="shared" si="154"/>
        <v>0</v>
      </c>
      <c r="Y788" s="137">
        <f t="shared" si="159"/>
        <v>0</v>
      </c>
      <c r="Z788" s="137">
        <v>0</v>
      </c>
      <c r="AA788" s="137">
        <f t="shared" si="155"/>
        <v>4448.95</v>
      </c>
      <c r="AB788" s="146">
        <v>0</v>
      </c>
      <c r="AC788" s="147">
        <f t="shared" si="156"/>
        <v>0</v>
      </c>
      <c r="AD788" s="137">
        <f t="shared" si="152"/>
        <v>0</v>
      </c>
      <c r="AE788" s="138">
        <v>0.31559999999999999</v>
      </c>
      <c r="AF788" s="137">
        <f t="shared" si="151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hidden="1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686</v>
      </c>
      <c r="G789" s="131" t="s">
        <v>686</v>
      </c>
      <c r="H789" s="131" t="s">
        <v>686</v>
      </c>
      <c r="I789" s="131" t="s">
        <v>202</v>
      </c>
      <c r="J789" s="119" t="s">
        <v>572</v>
      </c>
      <c r="K789" s="119" t="s">
        <v>573</v>
      </c>
      <c r="L789" s="119" t="s">
        <v>686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3"/>
        <v>0</v>
      </c>
      <c r="U789" s="137">
        <f t="shared" si="157"/>
        <v>0</v>
      </c>
      <c r="V789" s="137">
        <v>0</v>
      </c>
      <c r="W789" s="137">
        <f t="shared" si="158"/>
        <v>0</v>
      </c>
      <c r="X789" s="137">
        <f t="shared" si="154"/>
        <v>0</v>
      </c>
      <c r="Y789" s="137">
        <f t="shared" si="159"/>
        <v>0</v>
      </c>
      <c r="Z789" s="137">
        <v>0</v>
      </c>
      <c r="AA789" s="137">
        <f t="shared" si="155"/>
        <v>1598.41</v>
      </c>
      <c r="AB789" s="146">
        <f>(Z789-Q789)/(1+N789)</f>
        <v>-1567.0686274509806</v>
      </c>
      <c r="AC789" s="147">
        <f t="shared" si="156"/>
        <v>1567.0686274509806</v>
      </c>
      <c r="AD789" s="137">
        <f t="shared" si="152"/>
        <v>0</v>
      </c>
      <c r="AE789" s="138">
        <v>0.31559999999999999</v>
      </c>
      <c r="AF789" s="137">
        <f t="shared" si="151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hidden="1" customHeight="1" x14ac:dyDescent="0.3">
      <c r="A790" s="119">
        <v>2017</v>
      </c>
      <c r="B790" s="119" t="s">
        <v>1701</v>
      </c>
      <c r="C790" s="119" t="s">
        <v>74</v>
      </c>
      <c r="D790" s="119" t="s">
        <v>515</v>
      </c>
      <c r="F790" s="119" t="s">
        <v>674</v>
      </c>
      <c r="G790" s="119" t="s">
        <v>674</v>
      </c>
      <c r="H790" s="131"/>
      <c r="I790" s="131" t="s">
        <v>202</v>
      </c>
      <c r="J790" s="119" t="s">
        <v>572</v>
      </c>
      <c r="K790" s="119" t="s">
        <v>573</v>
      </c>
      <c r="L790" s="119" t="s">
        <v>843</v>
      </c>
      <c r="M790" s="119" t="s">
        <v>183</v>
      </c>
      <c r="N790" s="135">
        <v>0</v>
      </c>
      <c r="O790" s="135" t="s">
        <v>46</v>
      </c>
      <c r="P790" s="135" t="s">
        <v>1700</v>
      </c>
      <c r="Q790" s="137">
        <v>2005.88</v>
      </c>
      <c r="R790" s="137">
        <v>0</v>
      </c>
      <c r="S790" s="137"/>
      <c r="T790" s="137">
        <f t="shared" si="153"/>
        <v>0</v>
      </c>
      <c r="U790" s="137">
        <f t="shared" si="157"/>
        <v>0</v>
      </c>
      <c r="V790" s="137">
        <v>0</v>
      </c>
      <c r="W790" s="137">
        <f t="shared" si="158"/>
        <v>0</v>
      </c>
      <c r="X790" s="137">
        <f t="shared" si="154"/>
        <v>0</v>
      </c>
      <c r="Y790" s="137">
        <f t="shared" si="159"/>
        <v>0</v>
      </c>
      <c r="Z790" s="137">
        <v>1892.5</v>
      </c>
      <c r="AA790" s="137">
        <f t="shared" si="155"/>
        <v>113.38000000000011</v>
      </c>
      <c r="AB790" s="146">
        <v>0</v>
      </c>
      <c r="AC790" s="147">
        <f t="shared" si="156"/>
        <v>1892.5</v>
      </c>
      <c r="AD790" s="137">
        <f t="shared" si="152"/>
        <v>1855.1748869203609</v>
      </c>
      <c r="AE790" s="138">
        <v>0.31559999999999999</v>
      </c>
      <c r="AF790" s="137">
        <f t="shared" si="151"/>
        <v>585.49319431206584</v>
      </c>
      <c r="AG790" s="137">
        <v>0</v>
      </c>
      <c r="AH790" s="154"/>
      <c r="AI790" s="154"/>
      <c r="AJ790" s="135" t="e">
        <v>#N/A</v>
      </c>
      <c r="AL790" s="119" t="s">
        <v>586</v>
      </c>
      <c r="AM790" s="131" t="s">
        <v>206</v>
      </c>
    </row>
    <row r="791" spans="1:39" s="119" customFormat="1" ht="15" hidden="1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613</v>
      </c>
      <c r="G791" s="131" t="s">
        <v>614</v>
      </c>
      <c r="H791" s="131" t="s">
        <v>614</v>
      </c>
      <c r="I791" s="131" t="s">
        <v>202</v>
      </c>
      <c r="J791" s="119" t="s">
        <v>203</v>
      </c>
      <c r="K791" s="119" t="s">
        <v>204</v>
      </c>
      <c r="L791" s="119" t="s">
        <v>613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3"/>
        <v>0</v>
      </c>
      <c r="U791" s="137">
        <f t="shared" si="157"/>
        <v>0</v>
      </c>
      <c r="V791" s="137">
        <v>0</v>
      </c>
      <c r="W791" s="137">
        <f t="shared" si="158"/>
        <v>0</v>
      </c>
      <c r="X791" s="137">
        <f t="shared" si="154"/>
        <v>0</v>
      </c>
      <c r="Y791" s="137">
        <f t="shared" si="159"/>
        <v>0</v>
      </c>
      <c r="Z791" s="137">
        <v>0</v>
      </c>
      <c r="AA791" s="137">
        <f t="shared" si="155"/>
        <v>0</v>
      </c>
      <c r="AB791" s="146">
        <f>IF(O791="返货",Z791/(1+N791),IF(O791="返现",Z791,IF(O791="折扣",Z791*N791,IF(O791="无",Z791))))</f>
        <v>0</v>
      </c>
      <c r="AC791" s="147">
        <f t="shared" si="156"/>
        <v>0</v>
      </c>
      <c r="AD791" s="137">
        <v>0</v>
      </c>
      <c r="AE791" s="138">
        <v>7.0000000000000007E-2</v>
      </c>
      <c r="AF791" s="137">
        <f t="shared" si="151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hidden="1" customHeight="1" x14ac:dyDescent="0.3">
      <c r="A792" s="119">
        <v>2017</v>
      </c>
      <c r="B792" s="119" t="s">
        <v>37</v>
      </c>
      <c r="C792" s="119" t="s">
        <v>58</v>
      </c>
      <c r="D792" s="119" t="s">
        <v>714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3"/>
        <v>0</v>
      </c>
      <c r="U792" s="137">
        <f t="shared" si="157"/>
        <v>0</v>
      </c>
      <c r="V792" s="137">
        <v>30000</v>
      </c>
      <c r="W792" s="137">
        <f t="shared" si="158"/>
        <v>-30000</v>
      </c>
      <c r="X792" s="137">
        <f t="shared" si="154"/>
        <v>-30000</v>
      </c>
      <c r="Y792" s="137">
        <f t="shared" si="159"/>
        <v>0</v>
      </c>
      <c r="Z792" s="137">
        <v>5165.5</v>
      </c>
      <c r="AA792" s="137">
        <f t="shared" si="155"/>
        <v>24834.5</v>
      </c>
      <c r="AB792" s="146">
        <f>IF(O792="返货",Z792/(1+N792),IF(O792="返现",Z792,IF(O792="折扣",Z792*N792,IF(O792="无",Z792))))</f>
        <v>5165.5</v>
      </c>
      <c r="AC792" s="147">
        <f t="shared" si="156"/>
        <v>0</v>
      </c>
      <c r="AD792" s="137">
        <v>5165.5</v>
      </c>
      <c r="AE792" s="138">
        <v>7.0000000000000007E-2</v>
      </c>
      <c r="AF792" s="137">
        <f t="shared" si="151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hidden="1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861</v>
      </c>
      <c r="K793" s="119" t="s">
        <v>862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3"/>
        <v>16000</v>
      </c>
      <c r="U793" s="137">
        <f t="shared" si="157"/>
        <v>816000</v>
      </c>
      <c r="V793" s="137">
        <v>620106.07799999998</v>
      </c>
      <c r="W793" s="137">
        <f t="shared" si="158"/>
        <v>195893.92200000002</v>
      </c>
      <c r="X793" s="137">
        <f t="shared" si="154"/>
        <v>192052.86470588236</v>
      </c>
      <c r="Y793" s="137">
        <f t="shared" si="159"/>
        <v>3841.0572941176652</v>
      </c>
      <c r="Z793" s="137">
        <v>0</v>
      </c>
      <c r="AA793" s="137">
        <f t="shared" si="155"/>
        <v>620106.07799999998</v>
      </c>
      <c r="AB793" s="146">
        <f>IF(O793="返货",Z793/(1+N793),IF(O793="返现",Z793,IF(O793="折扣",Z793*N793,IF(O793="无",Z793))))</f>
        <v>0</v>
      </c>
      <c r="AC793" s="147">
        <f t="shared" si="156"/>
        <v>0</v>
      </c>
      <c r="AD793" s="137">
        <f>Z793*0.972201473425119-Q793</f>
        <v>0</v>
      </c>
      <c r="AE793" s="138">
        <v>0.1</v>
      </c>
      <c r="AF793" s="137">
        <f t="shared" si="151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863</v>
      </c>
      <c r="H794" s="119" t="s">
        <v>864</v>
      </c>
      <c r="I794" s="119" t="s">
        <v>168</v>
      </c>
      <c r="J794" s="119" t="s">
        <v>861</v>
      </c>
      <c r="K794" s="119" t="s">
        <v>862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3"/>
        <v>4000</v>
      </c>
      <c r="U794" s="137">
        <f t="shared" si="157"/>
        <v>204000</v>
      </c>
      <c r="V794" s="137">
        <v>200000</v>
      </c>
      <c r="W794" s="137">
        <f t="shared" si="158"/>
        <v>4000</v>
      </c>
      <c r="X794" s="137">
        <f t="shared" si="154"/>
        <v>3921.5686274509803</v>
      </c>
      <c r="Y794" s="137">
        <f t="shared" si="159"/>
        <v>78.43137254901967</v>
      </c>
      <c r="Z794" s="137">
        <v>719897.4</v>
      </c>
      <c r="AA794" s="137">
        <f t="shared" si="155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6"/>
        <v>21679.752941176528</v>
      </c>
      <c r="AD794" s="137">
        <f>Z794*0.972201473425119-Q794</f>
        <v>699885.31299491227</v>
      </c>
      <c r="AE794" s="138">
        <v>0.1</v>
      </c>
      <c r="AF794" s="137">
        <f t="shared" si="151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hidden="1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3"/>
        <v>852600</v>
      </c>
      <c r="U795" s="137">
        <f t="shared" si="157"/>
        <v>29272600</v>
      </c>
      <c r="V795" s="137">
        <v>29247100</v>
      </c>
      <c r="W795" s="137">
        <f t="shared" si="158"/>
        <v>25500</v>
      </c>
      <c r="X795" s="137">
        <f t="shared" si="154"/>
        <v>24757.281553398057</v>
      </c>
      <c r="Y795" s="137">
        <f t="shared" si="159"/>
        <v>742.71844660194256</v>
      </c>
      <c r="Z795" s="137">
        <v>40989974.399999999</v>
      </c>
      <c r="AA795" s="137">
        <f t="shared" si="155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6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1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865</v>
      </c>
      <c r="AM795" s="119" t="s">
        <v>172</v>
      </c>
    </row>
    <row r="796" spans="1:39" s="119" customFormat="1" ht="15" hidden="1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600</v>
      </c>
      <c r="K796" s="119" t="s">
        <v>615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3"/>
        <v>0</v>
      </c>
      <c r="U796" s="137">
        <f t="shared" si="157"/>
        <v>0</v>
      </c>
      <c r="V796" s="137">
        <v>50000</v>
      </c>
      <c r="W796" s="137">
        <f t="shared" si="158"/>
        <v>-50000</v>
      </c>
      <c r="X796" s="137">
        <f t="shared" si="154"/>
        <v>-49019.607843137252</v>
      </c>
      <c r="Y796" s="137">
        <f t="shared" si="159"/>
        <v>-980.39215686274838</v>
      </c>
      <c r="Z796" s="137">
        <v>56633.06</v>
      </c>
      <c r="AA796" s="137">
        <f t="shared" si="155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6"/>
        <v>1110.4521568627461</v>
      </c>
      <c r="AD796" s="137">
        <v>56633.06</v>
      </c>
      <c r="AE796" s="138">
        <v>7.0000000000000007E-2</v>
      </c>
      <c r="AF796" s="137">
        <f t="shared" si="151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hidden="1" customHeight="1" x14ac:dyDescent="0.3">
      <c r="A797" s="119">
        <v>2017</v>
      </c>
      <c r="B797" s="119" t="s">
        <v>37</v>
      </c>
      <c r="C797" s="119" t="s">
        <v>58</v>
      </c>
      <c r="D797" s="119" t="s">
        <v>714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600</v>
      </c>
      <c r="K797" s="119" t="s">
        <v>615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3"/>
        <v>0</v>
      </c>
      <c r="U797" s="137">
        <f t="shared" si="157"/>
        <v>0</v>
      </c>
      <c r="V797" s="137">
        <v>0</v>
      </c>
      <c r="W797" s="137">
        <f t="shared" si="158"/>
        <v>0</v>
      </c>
      <c r="X797" s="137">
        <f t="shared" si="154"/>
        <v>0</v>
      </c>
      <c r="Y797" s="137">
        <f t="shared" si="159"/>
        <v>0</v>
      </c>
      <c r="Z797" s="137">
        <v>8501.65</v>
      </c>
      <c r="AA797" s="137">
        <f t="shared" si="155"/>
        <v>-8501.65</v>
      </c>
      <c r="AB797" s="146">
        <f>IF(O797="返货",Z797/(1+N797),IF(O797="返现",Z797,IF(O797="折扣",Z797*N797,IF(O797="无",Z797))))</f>
        <v>8501.65</v>
      </c>
      <c r="AC797" s="147">
        <f t="shared" si="156"/>
        <v>0</v>
      </c>
      <c r="AD797" s="137">
        <v>8501.65</v>
      </c>
      <c r="AE797" s="138">
        <v>0.2</v>
      </c>
      <c r="AF797" s="137">
        <f t="shared" si="151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hidden="1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600</v>
      </c>
      <c r="K798" s="119" t="s">
        <v>615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3"/>
        <v>0</v>
      </c>
      <c r="U798" s="137">
        <f t="shared" si="157"/>
        <v>0</v>
      </c>
      <c r="V798" s="137">
        <v>0</v>
      </c>
      <c r="W798" s="137">
        <f t="shared" si="158"/>
        <v>0</v>
      </c>
      <c r="X798" s="137">
        <f t="shared" si="154"/>
        <v>0</v>
      </c>
      <c r="Y798" s="137">
        <f t="shared" si="159"/>
        <v>0</v>
      </c>
      <c r="Z798" s="137">
        <v>369969.75</v>
      </c>
      <c r="AA798" s="137">
        <f t="shared" si="155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6"/>
        <v>10775.817961165041</v>
      </c>
      <c r="AD798" s="137">
        <v>369969.75</v>
      </c>
      <c r="AE798" s="138">
        <v>0.2</v>
      </c>
      <c r="AF798" s="137">
        <f t="shared" si="151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hidden="1" customHeight="1" x14ac:dyDescent="0.3">
      <c r="A799" s="119">
        <v>2017</v>
      </c>
      <c r="B799" s="119" t="s">
        <v>197</v>
      </c>
      <c r="C799" s="119" t="s">
        <v>58</v>
      </c>
      <c r="D799" s="119" t="s">
        <v>866</v>
      </c>
      <c r="F799" s="131" t="s">
        <v>724</v>
      </c>
      <c r="G799" s="131" t="s">
        <v>725</v>
      </c>
      <c r="H799" s="131" t="s">
        <v>725</v>
      </c>
      <c r="I799" s="131" t="s">
        <v>202</v>
      </c>
      <c r="J799" s="119" t="s">
        <v>621</v>
      </c>
      <c r="K799" s="119" t="s">
        <v>622</v>
      </c>
      <c r="L799" s="119" t="s">
        <v>726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3"/>
        <v>0</v>
      </c>
      <c r="U799" s="137">
        <f t="shared" si="157"/>
        <v>0</v>
      </c>
      <c r="V799" s="137">
        <v>20000</v>
      </c>
      <c r="W799" s="137">
        <f t="shared" si="158"/>
        <v>-20000</v>
      </c>
      <c r="X799" s="137">
        <f t="shared" si="154"/>
        <v>-20000</v>
      </c>
      <c r="Y799" s="137">
        <f t="shared" si="159"/>
        <v>0</v>
      </c>
      <c r="Z799" s="137">
        <v>38</v>
      </c>
      <c r="AA799" s="137">
        <f t="shared" si="155"/>
        <v>19962</v>
      </c>
      <c r="AB799" s="146">
        <f>IF(O799="返货",Z799/(1+N799),IF(O799="返现",Z799,IF(O799="折扣",Z799*N799,IF(O799="无",Z799))))</f>
        <v>38</v>
      </c>
      <c r="AC799" s="147">
        <f t="shared" si="156"/>
        <v>0</v>
      </c>
      <c r="AD799" s="137">
        <f>Z799*0.905731236248844</f>
        <v>34.417786977456075</v>
      </c>
      <c r="AE799" s="138">
        <v>7.0000000000000007E-2</v>
      </c>
      <c r="AF799" s="137">
        <f t="shared" si="151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hidden="1" customHeight="1" x14ac:dyDescent="0.3">
      <c r="A800" s="119">
        <v>2017</v>
      </c>
      <c r="F800" s="131" t="s">
        <v>867</v>
      </c>
      <c r="G800" s="131"/>
      <c r="H800" s="131"/>
      <c r="I800" s="131" t="s">
        <v>202</v>
      </c>
      <c r="J800" s="119" t="s">
        <v>621</v>
      </c>
      <c r="K800" s="119" t="s">
        <v>622</v>
      </c>
      <c r="L800" s="119" t="s">
        <v>867</v>
      </c>
      <c r="M800" s="119" t="s">
        <v>45</v>
      </c>
      <c r="N800" s="135">
        <v>0</v>
      </c>
      <c r="O800" s="135" t="s">
        <v>46</v>
      </c>
      <c r="P800" s="135" t="s">
        <v>850</v>
      </c>
      <c r="Q800" s="137">
        <v>19063.599999999999</v>
      </c>
      <c r="R800" s="137">
        <v>0</v>
      </c>
      <c r="S800" s="137"/>
      <c r="T800" s="137">
        <f t="shared" si="153"/>
        <v>0</v>
      </c>
      <c r="U800" s="137">
        <f t="shared" si="157"/>
        <v>0</v>
      </c>
      <c r="V800" s="137">
        <v>0</v>
      </c>
      <c r="W800" s="137">
        <f t="shared" si="158"/>
        <v>0</v>
      </c>
      <c r="X800" s="137">
        <f t="shared" si="154"/>
        <v>0</v>
      </c>
      <c r="Y800" s="137">
        <f t="shared" si="159"/>
        <v>0</v>
      </c>
      <c r="Z800" s="137">
        <v>19063.599999999999</v>
      </c>
      <c r="AA800" s="137">
        <f t="shared" si="155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6"/>
        <v>19063.599999999999</v>
      </c>
      <c r="AD800" s="137">
        <v>0</v>
      </c>
      <c r="AE800" s="138">
        <v>7.0000000000000007E-2</v>
      </c>
      <c r="AF800" s="137">
        <f t="shared" si="151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hidden="1" customHeight="1" x14ac:dyDescent="0.3">
      <c r="A801" s="119">
        <v>2017</v>
      </c>
      <c r="B801" s="119" t="s">
        <v>37</v>
      </c>
      <c r="C801" s="119" t="s">
        <v>58</v>
      </c>
      <c r="D801" s="119" t="s">
        <v>714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3"/>
        <v>0</v>
      </c>
      <c r="U801" s="137">
        <f t="shared" si="157"/>
        <v>0</v>
      </c>
      <c r="V801" s="137">
        <v>-95810.27</v>
      </c>
      <c r="W801" s="137">
        <f t="shared" si="158"/>
        <v>95810.27</v>
      </c>
      <c r="X801" s="137">
        <f t="shared" si="154"/>
        <v>92125.25961538461</v>
      </c>
      <c r="Y801" s="137">
        <f t="shared" si="159"/>
        <v>3685.0103846153943</v>
      </c>
      <c r="Z801" s="137">
        <v>0</v>
      </c>
      <c r="AA801" s="137">
        <f t="shared" si="155"/>
        <v>-95810.27</v>
      </c>
      <c r="AB801" s="146"/>
      <c r="AC801" s="147" t="e">
        <f t="shared" si="156"/>
        <v>#N/A</v>
      </c>
      <c r="AD801" s="137">
        <f>(Z801-Q801)*0.91072157793815</f>
        <v>0</v>
      </c>
      <c r="AE801" s="138">
        <v>0.11269173273981201</v>
      </c>
      <c r="AF801" s="137">
        <f t="shared" si="151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hidden="1" customHeight="1" x14ac:dyDescent="0.3">
      <c r="A802" s="119">
        <v>2017</v>
      </c>
      <c r="B802" s="119" t="s">
        <v>37</v>
      </c>
      <c r="C802" s="119" t="s">
        <v>74</v>
      </c>
      <c r="D802" s="119" t="s">
        <v>515</v>
      </c>
      <c r="F802" s="131" t="s">
        <v>666</v>
      </c>
      <c r="G802" s="131" t="s">
        <v>666</v>
      </c>
      <c r="H802" s="131" t="s">
        <v>666</v>
      </c>
      <c r="I802" s="131" t="s">
        <v>202</v>
      </c>
      <c r="J802" s="119" t="s">
        <v>600</v>
      </c>
      <c r="K802" s="119" t="s">
        <v>636</v>
      </c>
      <c r="L802" s="119" t="s">
        <v>666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3"/>
        <v>0</v>
      </c>
      <c r="U802" s="137">
        <f t="shared" si="157"/>
        <v>0</v>
      </c>
      <c r="V802" s="137">
        <v>0</v>
      </c>
      <c r="W802" s="137">
        <f t="shared" si="158"/>
        <v>0</v>
      </c>
      <c r="X802" s="137">
        <f t="shared" si="154"/>
        <v>0</v>
      </c>
      <c r="Y802" s="137">
        <f t="shared" si="159"/>
        <v>0</v>
      </c>
      <c r="Z802" s="137">
        <v>43722.080000000002</v>
      </c>
      <c r="AA802" s="137">
        <f t="shared" si="155"/>
        <v>-43722.080000000002</v>
      </c>
      <c r="AB802" s="146">
        <f t="shared" ref="AB802:AB806" si="160">IF(O802="返货",Z802/(1+N802),IF(O802="返现",Z802,IF(O802="折扣",Z802*N802,IF(O802="无",Z802))))</f>
        <v>42448.621359223303</v>
      </c>
      <c r="AC802" s="147">
        <f t="shared" si="156"/>
        <v>1273.4586407766983</v>
      </c>
      <c r="AD802" s="137">
        <v>43722.080000000002</v>
      </c>
      <c r="AE802" s="138">
        <v>7.0000000000000007E-2</v>
      </c>
      <c r="AF802" s="137">
        <f t="shared" si="151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hidden="1" customHeight="1" x14ac:dyDescent="0.3">
      <c r="A803" s="119">
        <v>2017</v>
      </c>
      <c r="B803" s="119" t="s">
        <v>37</v>
      </c>
      <c r="C803" s="119" t="s">
        <v>38</v>
      </c>
      <c r="D803" s="119" t="s">
        <v>830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600</v>
      </c>
      <c r="K803" s="119" t="s">
        <v>636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3"/>
        <v>0</v>
      </c>
      <c r="U803" s="137">
        <f t="shared" si="157"/>
        <v>0</v>
      </c>
      <c r="V803" s="137">
        <v>0</v>
      </c>
      <c r="W803" s="137">
        <f t="shared" si="158"/>
        <v>0</v>
      </c>
      <c r="X803" s="137">
        <f t="shared" si="154"/>
        <v>0</v>
      </c>
      <c r="Y803" s="137">
        <f t="shared" si="159"/>
        <v>0</v>
      </c>
      <c r="Z803" s="137">
        <v>7962.82</v>
      </c>
      <c r="AA803" s="137">
        <f t="shared" si="155"/>
        <v>-7962.82</v>
      </c>
      <c r="AB803" s="146">
        <f t="shared" si="160"/>
        <v>7806.6862745098033</v>
      </c>
      <c r="AC803" s="147">
        <f t="shared" si="156"/>
        <v>156.13372549019641</v>
      </c>
      <c r="AD803" s="137">
        <v>7962.82</v>
      </c>
      <c r="AE803" s="138">
        <v>0.2</v>
      </c>
      <c r="AF803" s="137">
        <f t="shared" si="151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hidden="1" customHeight="1" x14ac:dyDescent="0.3">
      <c r="A804" s="119">
        <v>2017</v>
      </c>
      <c r="B804" s="119" t="s">
        <v>197</v>
      </c>
      <c r="C804" s="119" t="s">
        <v>74</v>
      </c>
      <c r="D804" s="119" t="s">
        <v>515</v>
      </c>
      <c r="F804" s="131" t="s">
        <v>623</v>
      </c>
      <c r="G804" s="131" t="s">
        <v>624</v>
      </c>
      <c r="H804" s="131" t="s">
        <v>625</v>
      </c>
      <c r="I804" s="131" t="s">
        <v>202</v>
      </c>
      <c r="J804" s="119" t="s">
        <v>600</v>
      </c>
      <c r="K804" s="119" t="s">
        <v>636</v>
      </c>
      <c r="L804" s="119" t="s">
        <v>623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3"/>
        <v>0</v>
      </c>
      <c r="U804" s="137">
        <f t="shared" si="157"/>
        <v>0</v>
      </c>
      <c r="V804" s="137">
        <v>0</v>
      </c>
      <c r="W804" s="137">
        <f t="shared" si="158"/>
        <v>0</v>
      </c>
      <c r="X804" s="137">
        <f t="shared" si="154"/>
        <v>0</v>
      </c>
      <c r="Y804" s="137">
        <f t="shared" si="159"/>
        <v>0</v>
      </c>
      <c r="Z804" s="137">
        <v>180387.31</v>
      </c>
      <c r="AA804" s="137">
        <f t="shared" si="155"/>
        <v>-180387.31</v>
      </c>
      <c r="AB804" s="146">
        <f t="shared" si="160"/>
        <v>171797.43809523809</v>
      </c>
      <c r="AC804" s="147">
        <f t="shared" si="156"/>
        <v>8589.8719047619088</v>
      </c>
      <c r="AD804" s="137">
        <v>180387.31</v>
      </c>
      <c r="AE804" s="138">
        <v>0.2</v>
      </c>
      <c r="AF804" s="137">
        <f t="shared" si="151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hidden="1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598</v>
      </c>
      <c r="G805" s="131" t="s">
        <v>599</v>
      </c>
      <c r="H805" s="131" t="s">
        <v>599</v>
      </c>
      <c r="I805" s="131"/>
      <c r="J805" s="119" t="s">
        <v>676</v>
      </c>
      <c r="K805" s="119" t="s">
        <v>676</v>
      </c>
      <c r="L805" s="119" t="s">
        <v>598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3"/>
        <v>0</v>
      </c>
      <c r="U805" s="137">
        <f t="shared" si="157"/>
        <v>0</v>
      </c>
      <c r="V805" s="137">
        <v>300000</v>
      </c>
      <c r="W805" s="137">
        <f t="shared" si="158"/>
        <v>-300000</v>
      </c>
      <c r="X805" s="137">
        <f t="shared" si="154"/>
        <v>-300000</v>
      </c>
      <c r="Y805" s="137">
        <f t="shared" si="159"/>
        <v>0</v>
      </c>
      <c r="Z805" s="137">
        <v>0</v>
      </c>
      <c r="AA805" s="137">
        <f t="shared" si="155"/>
        <v>300000</v>
      </c>
      <c r="AB805" s="146">
        <f t="shared" si="160"/>
        <v>0</v>
      </c>
      <c r="AC805" s="147">
        <f t="shared" si="156"/>
        <v>0</v>
      </c>
      <c r="AD805" s="137">
        <v>0</v>
      </c>
      <c r="AE805" s="138">
        <v>0</v>
      </c>
      <c r="AF805" s="137">
        <f t="shared" si="151"/>
        <v>0</v>
      </c>
      <c r="AG805" s="137"/>
      <c r="AH805" s="154"/>
      <c r="AI805" s="154"/>
      <c r="AJ805" s="155">
        <v>0</v>
      </c>
      <c r="AM805" s="119" t="s">
        <v>868</v>
      </c>
    </row>
    <row r="806" spans="1:39" s="119" customFormat="1" ht="15" hidden="1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598</v>
      </c>
      <c r="G806" s="131" t="s">
        <v>599</v>
      </c>
      <c r="H806" s="131" t="s">
        <v>599</v>
      </c>
      <c r="I806" s="131" t="s">
        <v>202</v>
      </c>
      <c r="J806" s="119" t="s">
        <v>600</v>
      </c>
      <c r="K806" s="119" t="s">
        <v>601</v>
      </c>
      <c r="L806" s="119" t="s">
        <v>598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3"/>
        <v>0</v>
      </c>
      <c r="U806" s="137">
        <f t="shared" si="157"/>
        <v>0</v>
      </c>
      <c r="V806" s="137">
        <v>0</v>
      </c>
      <c r="W806" s="137">
        <f t="shared" si="158"/>
        <v>0</v>
      </c>
      <c r="X806" s="137">
        <f t="shared" si="154"/>
        <v>0</v>
      </c>
      <c r="Y806" s="137">
        <f t="shared" si="159"/>
        <v>0</v>
      </c>
      <c r="Z806" s="137">
        <v>44135.6</v>
      </c>
      <c r="AA806" s="137">
        <f t="shared" si="155"/>
        <v>-44135.6</v>
      </c>
      <c r="AB806" s="146">
        <f t="shared" si="160"/>
        <v>44135.6</v>
      </c>
      <c r="AC806" s="147">
        <f t="shared" si="156"/>
        <v>0</v>
      </c>
      <c r="AD806" s="137">
        <v>44135.6</v>
      </c>
      <c r="AE806" s="138">
        <v>0</v>
      </c>
      <c r="AF806" s="137">
        <f t="shared" si="151"/>
        <v>0</v>
      </c>
      <c r="AG806" s="137"/>
      <c r="AH806" s="154"/>
      <c r="AI806" s="154"/>
      <c r="AJ806" s="135">
        <v>0</v>
      </c>
      <c r="AM806" s="119" t="s">
        <v>868</v>
      </c>
    </row>
    <row r="807" spans="1:39" s="119" customFormat="1" ht="15" hidden="1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572</v>
      </c>
      <c r="K807" s="119" t="s">
        <v>573</v>
      </c>
      <c r="L807" s="119" t="s">
        <v>869</v>
      </c>
      <c r="M807" s="119" t="s">
        <v>45</v>
      </c>
      <c r="N807" s="135">
        <v>0</v>
      </c>
      <c r="O807" s="135" t="s">
        <v>46</v>
      </c>
      <c r="P807" s="135" t="s">
        <v>848</v>
      </c>
      <c r="Q807" s="137">
        <v>29690</v>
      </c>
      <c r="R807" s="137"/>
      <c r="S807" s="137"/>
      <c r="T807" s="137">
        <f t="shared" si="153"/>
        <v>0</v>
      </c>
      <c r="U807" s="137">
        <f t="shared" si="157"/>
        <v>0</v>
      </c>
      <c r="V807" s="137">
        <v>0</v>
      </c>
      <c r="W807" s="137">
        <f t="shared" si="158"/>
        <v>0</v>
      </c>
      <c r="X807" s="137">
        <f t="shared" si="154"/>
        <v>0</v>
      </c>
      <c r="Y807" s="137">
        <f t="shared" si="159"/>
        <v>0</v>
      </c>
      <c r="Z807" s="137">
        <v>0</v>
      </c>
      <c r="AA807" s="137">
        <f t="shared" si="155"/>
        <v>29690</v>
      </c>
      <c r="AB807" s="146">
        <v>0</v>
      </c>
      <c r="AC807" s="147">
        <f t="shared" si="156"/>
        <v>0</v>
      </c>
      <c r="AD807" s="137">
        <v>0</v>
      </c>
      <c r="AE807" s="138"/>
      <c r="AF807" s="137">
        <f t="shared" si="151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hidden="1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572</v>
      </c>
      <c r="K808" s="119" t="s">
        <v>573</v>
      </c>
      <c r="L808" s="119" t="s">
        <v>870</v>
      </c>
      <c r="M808" s="119" t="s">
        <v>45</v>
      </c>
      <c r="N808" s="135">
        <v>0</v>
      </c>
      <c r="O808" s="135" t="s">
        <v>46</v>
      </c>
      <c r="P808" s="135" t="s">
        <v>850</v>
      </c>
      <c r="Q808" s="137">
        <v>13775.2</v>
      </c>
      <c r="R808" s="137"/>
      <c r="S808" s="137"/>
      <c r="T808" s="137">
        <f t="shared" si="153"/>
        <v>0</v>
      </c>
      <c r="U808" s="137">
        <f t="shared" si="157"/>
        <v>0</v>
      </c>
      <c r="V808" s="137">
        <v>0</v>
      </c>
      <c r="W808" s="137">
        <f t="shared" si="158"/>
        <v>0</v>
      </c>
      <c r="X808" s="137">
        <f t="shared" si="154"/>
        <v>0</v>
      </c>
      <c r="Y808" s="137">
        <f t="shared" si="159"/>
        <v>0</v>
      </c>
      <c r="Z808" s="137">
        <v>0</v>
      </c>
      <c r="AA808" s="137">
        <f t="shared" si="155"/>
        <v>13775.2</v>
      </c>
      <c r="AB808" s="146">
        <v>0</v>
      </c>
      <c r="AC808" s="147">
        <f t="shared" si="156"/>
        <v>0</v>
      </c>
      <c r="AD808" s="137">
        <v>0</v>
      </c>
      <c r="AE808" s="138"/>
      <c r="AF808" s="137">
        <f t="shared" si="151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hidden="1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572</v>
      </c>
      <c r="K809" s="119" t="s">
        <v>573</v>
      </c>
      <c r="L809" s="119" t="s">
        <v>855</v>
      </c>
      <c r="M809" s="119" t="s">
        <v>45</v>
      </c>
      <c r="N809" s="135">
        <v>0</v>
      </c>
      <c r="O809" s="135" t="s">
        <v>46</v>
      </c>
      <c r="P809" s="135" t="s">
        <v>848</v>
      </c>
      <c r="Q809" s="137">
        <v>0.35</v>
      </c>
      <c r="R809" s="137"/>
      <c r="S809" s="137"/>
      <c r="T809" s="137">
        <f t="shared" si="153"/>
        <v>0</v>
      </c>
      <c r="U809" s="137">
        <f t="shared" si="157"/>
        <v>0</v>
      </c>
      <c r="V809" s="137">
        <v>0</v>
      </c>
      <c r="W809" s="137">
        <f t="shared" si="158"/>
        <v>0</v>
      </c>
      <c r="X809" s="137">
        <f t="shared" si="154"/>
        <v>0</v>
      </c>
      <c r="Y809" s="137">
        <f t="shared" si="159"/>
        <v>0</v>
      </c>
      <c r="Z809" s="137">
        <v>0</v>
      </c>
      <c r="AA809" s="137">
        <f t="shared" si="155"/>
        <v>0.35</v>
      </c>
      <c r="AB809" s="146">
        <v>0</v>
      </c>
      <c r="AC809" s="147">
        <f t="shared" si="156"/>
        <v>0</v>
      </c>
      <c r="AD809" s="137">
        <v>0</v>
      </c>
      <c r="AE809" s="138"/>
      <c r="AF809" s="137">
        <f t="shared" si="151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hidden="1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570</v>
      </c>
      <c r="G810" s="119" t="s">
        <v>571</v>
      </c>
      <c r="H810" s="119" t="s">
        <v>571</v>
      </c>
      <c r="I810" s="119" t="s">
        <v>168</v>
      </c>
      <c r="J810" s="119" t="s">
        <v>169</v>
      </c>
      <c r="K810" s="119" t="s">
        <v>170</v>
      </c>
      <c r="L810" s="119" t="s">
        <v>570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3"/>
        <v>98086.2</v>
      </c>
      <c r="U810" s="137">
        <f t="shared" si="157"/>
        <v>2550241.2000000002</v>
      </c>
      <c r="V810" s="137">
        <v>2463300.09</v>
      </c>
      <c r="W810" s="137">
        <f t="shared" si="158"/>
        <v>86941.110000000335</v>
      </c>
      <c r="X810" s="137">
        <f t="shared" si="154"/>
        <v>83597.221153846476</v>
      </c>
      <c r="Y810" s="137">
        <f t="shared" si="159"/>
        <v>3343.888846153859</v>
      </c>
      <c r="Z810" s="137">
        <v>2872398.6</v>
      </c>
      <c r="AA810" s="137">
        <f t="shared" si="155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6"/>
        <v>294704.36923076957</v>
      </c>
      <c r="AD810" s="137">
        <f t="shared" ref="AD810:AD815" si="161">(Z810-Q810)*0.89807640489087</f>
        <v>2407565.0223842543</v>
      </c>
      <c r="AE810" s="138">
        <v>0.11269173273981201</v>
      </c>
      <c r="AF810" s="137">
        <f t="shared" si="151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hidden="1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845</v>
      </c>
      <c r="G811" s="119" t="s">
        <v>871</v>
      </c>
      <c r="H811" s="119" t="s">
        <v>871</v>
      </c>
      <c r="I811" s="119" t="s">
        <v>168</v>
      </c>
      <c r="J811" s="119" t="s">
        <v>169</v>
      </c>
      <c r="K811" s="119" t="s">
        <v>170</v>
      </c>
      <c r="L811" s="119" t="s">
        <v>845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3"/>
        <v>30447.659599999999</v>
      </c>
      <c r="U811" s="137">
        <f t="shared" si="157"/>
        <v>791639.1496</v>
      </c>
      <c r="V811" s="137">
        <v>800000</v>
      </c>
      <c r="W811" s="137">
        <f t="shared" si="158"/>
        <v>-8360.8503999999957</v>
      </c>
      <c r="X811" s="137">
        <f t="shared" si="154"/>
        <v>-8039.2792307692262</v>
      </c>
      <c r="Y811" s="137">
        <f t="shared" si="159"/>
        <v>-321.57116923076956</v>
      </c>
      <c r="Z811" s="137">
        <v>0</v>
      </c>
      <c r="AA811" s="137">
        <f t="shared" si="155"/>
        <v>800000</v>
      </c>
      <c r="AB811" s="146">
        <f t="shared" ref="AB811:AB825" si="162">IF(O811="返货",Z811/(1+N811),IF(O811="返现",Z811,IF(O811="折扣",Z811*N811,IF(O811="无",Z811))))</f>
        <v>0</v>
      </c>
      <c r="AC811" s="147">
        <f t="shared" si="156"/>
        <v>0</v>
      </c>
      <c r="AD811" s="137">
        <f t="shared" si="161"/>
        <v>0</v>
      </c>
      <c r="AE811" s="138">
        <v>0.11269173273981201</v>
      </c>
      <c r="AF811" s="137">
        <f t="shared" si="151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hidden="1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656</v>
      </c>
      <c r="G812" s="119" t="s">
        <v>872</v>
      </c>
      <c r="H812" s="119" t="s">
        <v>872</v>
      </c>
      <c r="I812" s="119" t="s">
        <v>168</v>
      </c>
      <c r="J812" s="119" t="s">
        <v>169</v>
      </c>
      <c r="K812" s="119" t="s">
        <v>170</v>
      </c>
      <c r="L812" s="119" t="s">
        <v>656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3"/>
        <v>9266.8320000000003</v>
      </c>
      <c r="U812" s="137">
        <f t="shared" si="157"/>
        <v>125102.23199999999</v>
      </c>
      <c r="V812" s="137">
        <v>1930514.93</v>
      </c>
      <c r="W812" s="137">
        <f t="shared" si="158"/>
        <v>-1805412.6979999999</v>
      </c>
      <c r="X812" s="137">
        <f t="shared" si="154"/>
        <v>-1671678.4240740738</v>
      </c>
      <c r="Y812" s="137">
        <f t="shared" si="159"/>
        <v>-133734.27392592607</v>
      </c>
      <c r="Z812" s="137">
        <v>2799743</v>
      </c>
      <c r="AA812" s="137">
        <f t="shared" si="155"/>
        <v>-869228.07000000007</v>
      </c>
      <c r="AB812" s="146">
        <f t="shared" si="162"/>
        <v>2592354.6296296297</v>
      </c>
      <c r="AC812" s="147">
        <f t="shared" si="156"/>
        <v>207388.37037037034</v>
      </c>
      <c r="AD812" s="137">
        <f t="shared" si="161"/>
        <v>2514383.1280583791</v>
      </c>
      <c r="AE812" s="138">
        <v>0.11269173273981201</v>
      </c>
      <c r="AF812" s="137">
        <f t="shared" si="151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hidden="1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873</v>
      </c>
      <c r="G813" s="119" t="s">
        <v>874</v>
      </c>
      <c r="H813" s="119" t="s">
        <v>874</v>
      </c>
      <c r="I813" s="119" t="s">
        <v>168</v>
      </c>
      <c r="J813" s="119" t="s">
        <v>169</v>
      </c>
      <c r="K813" s="119" t="s">
        <v>170</v>
      </c>
      <c r="L813" s="119" t="s">
        <v>873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3"/>
        <v>30562.836800000001</v>
      </c>
      <c r="U813" s="137">
        <f t="shared" si="157"/>
        <v>794633.75680000009</v>
      </c>
      <c r="V813" s="137">
        <v>808780.68</v>
      </c>
      <c r="W813" s="137">
        <f t="shared" si="158"/>
        <v>-14146.923199999961</v>
      </c>
      <c r="X813" s="137">
        <f t="shared" si="154"/>
        <v>-13602.810769230731</v>
      </c>
      <c r="Y813" s="137">
        <f t="shared" si="159"/>
        <v>-544.11243076922983</v>
      </c>
      <c r="Z813" s="137">
        <v>1446488.5</v>
      </c>
      <c r="AA813" s="137">
        <f t="shared" si="155"/>
        <v>-637707.81999999995</v>
      </c>
      <c r="AB813" s="146">
        <f t="shared" si="162"/>
        <v>1390854.3269230768</v>
      </c>
      <c r="AC813" s="147">
        <f t="shared" si="156"/>
        <v>55634.173076923238</v>
      </c>
      <c r="AD813" s="137">
        <f t="shared" si="161"/>
        <v>1299057.1917959873</v>
      </c>
      <c r="AE813" s="138">
        <v>0.11269173273981201</v>
      </c>
      <c r="AF813" s="137">
        <f t="shared" si="151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hidden="1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582</v>
      </c>
      <c r="G814" s="119" t="s">
        <v>875</v>
      </c>
      <c r="H814" s="119" t="s">
        <v>875</v>
      </c>
      <c r="I814" s="119" t="s">
        <v>168</v>
      </c>
      <c r="J814" s="119" t="s">
        <v>169</v>
      </c>
      <c r="K814" s="119" t="s">
        <v>170</v>
      </c>
      <c r="L814" s="119" t="s">
        <v>582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3"/>
        <v>48679.442999999999</v>
      </c>
      <c r="U814" s="137">
        <f t="shared" si="157"/>
        <v>860003.49300000002</v>
      </c>
      <c r="V814" s="137">
        <v>855201.01</v>
      </c>
      <c r="W814" s="137">
        <f t="shared" si="158"/>
        <v>4802.4830000000075</v>
      </c>
      <c r="X814" s="137">
        <f t="shared" si="154"/>
        <v>4530.6443396226487</v>
      </c>
      <c r="Y814" s="137">
        <f t="shared" si="159"/>
        <v>271.83866037735879</v>
      </c>
      <c r="Z814" s="137">
        <v>854180.6</v>
      </c>
      <c r="AA814" s="137">
        <f t="shared" si="155"/>
        <v>1020.4100000000326</v>
      </c>
      <c r="AB814" s="146">
        <f>249729.01/1.04+(Z814-249729.01)/1.06+AA814/1.06</f>
        <v>811324.04807692312</v>
      </c>
      <c r="AC814" s="147">
        <f t="shared" si="156"/>
        <v>42856.551923076855</v>
      </c>
      <c r="AD814" s="137">
        <f t="shared" si="161"/>
        <v>767119.4423755263</v>
      </c>
      <c r="AE814" s="138">
        <v>0.11269173273981201</v>
      </c>
      <c r="AF814" s="137">
        <f t="shared" si="151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hidden="1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656</v>
      </c>
      <c r="G815" s="119" t="s">
        <v>876</v>
      </c>
      <c r="H815" s="119" t="s">
        <v>876</v>
      </c>
      <c r="I815" s="119" t="s">
        <v>168</v>
      </c>
      <c r="J815" s="119" t="s">
        <v>169</v>
      </c>
      <c r="K815" s="119" t="s">
        <v>170</v>
      </c>
      <c r="L815" s="119" t="s">
        <v>656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3"/>
        <v>8072.7532000000001</v>
      </c>
      <c r="U815" s="137">
        <f t="shared" si="157"/>
        <v>209891.58319999999</v>
      </c>
      <c r="V815" s="137">
        <v>1297438.03</v>
      </c>
      <c r="W815" s="137">
        <f t="shared" si="158"/>
        <v>-1087546.4468</v>
      </c>
      <c r="X815" s="137">
        <f t="shared" si="154"/>
        <v>-1045717.7373076923</v>
      </c>
      <c r="Y815" s="137">
        <f t="shared" si="159"/>
        <v>-41828.709492307738</v>
      </c>
      <c r="Z815" s="137">
        <v>0</v>
      </c>
      <c r="AA815" s="137">
        <f t="shared" si="155"/>
        <v>1297438.03</v>
      </c>
      <c r="AB815" s="146">
        <f t="shared" si="162"/>
        <v>0</v>
      </c>
      <c r="AC815" s="147">
        <f t="shared" si="156"/>
        <v>0</v>
      </c>
      <c r="AD815" s="137">
        <f t="shared" si="161"/>
        <v>0</v>
      </c>
      <c r="AE815" s="138">
        <v>0.11269173273981201</v>
      </c>
      <c r="AF815" s="137">
        <f t="shared" ref="AF815:AF878" si="163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hidden="1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656</v>
      </c>
      <c r="G816" s="119" t="s">
        <v>877</v>
      </c>
      <c r="H816" s="119" t="s">
        <v>877</v>
      </c>
      <c r="I816" s="119" t="s">
        <v>168</v>
      </c>
      <c r="J816" s="119" t="s">
        <v>169</v>
      </c>
      <c r="K816" s="119" t="s">
        <v>170</v>
      </c>
      <c r="L816" s="119" t="s">
        <v>656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3"/>
        <v>4800</v>
      </c>
      <c r="U816" s="137">
        <f t="shared" si="157"/>
        <v>44800</v>
      </c>
      <c r="V816" s="137">
        <v>40000</v>
      </c>
      <c r="W816" s="137">
        <f t="shared" si="158"/>
        <v>4800</v>
      </c>
      <c r="X816" s="137">
        <f t="shared" si="154"/>
        <v>4285.7142857142853</v>
      </c>
      <c r="Y816" s="137">
        <f t="shared" si="159"/>
        <v>514.28571428571468</v>
      </c>
      <c r="Z816" s="137">
        <v>24805.21</v>
      </c>
      <c r="AA816" s="137">
        <f t="shared" si="155"/>
        <v>15194.79</v>
      </c>
      <c r="AB816" s="146">
        <f t="shared" si="162"/>
        <v>22147.508928571424</v>
      </c>
      <c r="AC816" s="147">
        <f t="shared" si="156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3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hidden="1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656</v>
      </c>
      <c r="G817" s="119" t="s">
        <v>877</v>
      </c>
      <c r="H817" s="119" t="s">
        <v>877</v>
      </c>
      <c r="I817" s="119" t="s">
        <v>168</v>
      </c>
      <c r="J817" s="119" t="s">
        <v>169</v>
      </c>
      <c r="K817" s="119" t="s">
        <v>170</v>
      </c>
      <c r="L817" s="119" t="s">
        <v>656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3"/>
        <v>196161.68</v>
      </c>
      <c r="U817" s="137">
        <f t="shared" si="157"/>
        <v>2648182.6800000002</v>
      </c>
      <c r="V817" s="137">
        <v>160000</v>
      </c>
      <c r="W817" s="137">
        <f t="shared" si="158"/>
        <v>2488182.6800000002</v>
      </c>
      <c r="X817" s="137">
        <f t="shared" si="154"/>
        <v>2303872.8518518517</v>
      </c>
      <c r="Y817" s="137">
        <f t="shared" si="159"/>
        <v>184309.82814814849</v>
      </c>
      <c r="Z817" s="137">
        <v>0</v>
      </c>
      <c r="AA817" s="137">
        <f t="shared" si="155"/>
        <v>160000</v>
      </c>
      <c r="AB817" s="146">
        <f t="shared" si="162"/>
        <v>0</v>
      </c>
      <c r="AC817" s="147">
        <f t="shared" si="156"/>
        <v>0</v>
      </c>
      <c r="AD817" s="137">
        <f>(Z817-Q817)*0.89807640489087</f>
        <v>0</v>
      </c>
      <c r="AE817" s="138">
        <v>0.11269173273981201</v>
      </c>
      <c r="AF817" s="137">
        <f t="shared" si="163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hidden="1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878</v>
      </c>
      <c r="G818" s="119" t="s">
        <v>878</v>
      </c>
      <c r="H818" s="119" t="s">
        <v>878</v>
      </c>
      <c r="I818" s="119" t="s">
        <v>168</v>
      </c>
      <c r="J818" s="119" t="s">
        <v>600</v>
      </c>
      <c r="K818" s="119" t="s">
        <v>879</v>
      </c>
      <c r="L818" s="119" t="s">
        <v>878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3"/>
        <v>0</v>
      </c>
      <c r="U818" s="137">
        <f t="shared" si="157"/>
        <v>90000</v>
      </c>
      <c r="V818" s="137">
        <v>90000</v>
      </c>
      <c r="W818" s="137">
        <f t="shared" si="158"/>
        <v>0</v>
      </c>
      <c r="X818" s="137">
        <f t="shared" si="154"/>
        <v>0</v>
      </c>
      <c r="Y818" s="137">
        <f t="shared" si="159"/>
        <v>0</v>
      </c>
      <c r="Z818" s="137">
        <v>90638.3</v>
      </c>
      <c r="AA818" s="137">
        <f t="shared" si="155"/>
        <v>-638.30000000000291</v>
      </c>
      <c r="AB818" s="146">
        <f t="shared" si="162"/>
        <v>90638.3</v>
      </c>
      <c r="AC818" s="147">
        <f t="shared" si="156"/>
        <v>0</v>
      </c>
      <c r="AD818" s="137">
        <v>90638.3</v>
      </c>
      <c r="AE818" s="138">
        <v>0.1</v>
      </c>
      <c r="AF818" s="137">
        <f t="shared" si="163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hidden="1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878</v>
      </c>
      <c r="G819" s="119" t="s">
        <v>878</v>
      </c>
      <c r="H819" s="119" t="s">
        <v>878</v>
      </c>
      <c r="I819" s="119" t="s">
        <v>168</v>
      </c>
      <c r="J819" s="119" t="s">
        <v>861</v>
      </c>
      <c r="K819" s="119" t="s">
        <v>862</v>
      </c>
      <c r="L819" s="119" t="s">
        <v>878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3"/>
        <v>0</v>
      </c>
      <c r="U819" s="137">
        <f t="shared" si="157"/>
        <v>40000</v>
      </c>
      <c r="V819" s="137">
        <v>40000</v>
      </c>
      <c r="W819" s="137">
        <f t="shared" si="158"/>
        <v>0</v>
      </c>
      <c r="X819" s="137">
        <f t="shared" si="154"/>
        <v>0</v>
      </c>
      <c r="Y819" s="137">
        <f t="shared" si="159"/>
        <v>0</v>
      </c>
      <c r="Z819" s="137">
        <v>18887.7</v>
      </c>
      <c r="AA819" s="137">
        <f t="shared" si="155"/>
        <v>21112.3</v>
      </c>
      <c r="AB819" s="146">
        <f t="shared" si="162"/>
        <v>18887.7</v>
      </c>
      <c r="AC819" s="147">
        <f t="shared" si="156"/>
        <v>0</v>
      </c>
      <c r="AD819" s="137">
        <f>Z819*0.972201473425119-Q819</f>
        <v>18362.64976961162</v>
      </c>
      <c r="AE819" s="138">
        <v>0.1</v>
      </c>
      <c r="AF819" s="137">
        <f t="shared" si="163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hidden="1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3"/>
        <v>10800</v>
      </c>
      <c r="U820" s="137">
        <f t="shared" si="157"/>
        <v>280800</v>
      </c>
      <c r="V820" s="137">
        <v>278401.25</v>
      </c>
      <c r="W820" s="137">
        <f t="shared" si="158"/>
        <v>2398.75</v>
      </c>
      <c r="X820" s="137">
        <f t="shared" si="154"/>
        <v>2306.4903846153848</v>
      </c>
      <c r="Y820" s="137">
        <f t="shared" si="159"/>
        <v>92.259615384615245</v>
      </c>
      <c r="Z820" s="137">
        <v>261301</v>
      </c>
      <c r="AA820" s="137">
        <f t="shared" si="155"/>
        <v>17100.25</v>
      </c>
      <c r="AB820" s="146">
        <f t="shared" si="162"/>
        <v>251250.96153846153</v>
      </c>
      <c r="AC820" s="147">
        <f t="shared" si="156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3"/>
        <v>26445.173139818271</v>
      </c>
      <c r="AG820" s="137">
        <v>13328.4871347184</v>
      </c>
      <c r="AH820" s="154"/>
      <c r="AI820" s="154"/>
      <c r="AJ820" s="135" t="s">
        <v>880</v>
      </c>
      <c r="AK820" s="119" t="s">
        <v>880</v>
      </c>
      <c r="AM820" s="119" t="s">
        <v>172</v>
      </c>
    </row>
    <row r="821" spans="1:39" s="119" customFormat="1" ht="15" hidden="1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600</v>
      </c>
      <c r="K821" s="119" t="s">
        <v>879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3"/>
        <v>6600</v>
      </c>
      <c r="U821" s="137">
        <f t="shared" si="157"/>
        <v>336600</v>
      </c>
      <c r="V821" s="137">
        <v>336600</v>
      </c>
      <c r="W821" s="137">
        <f t="shared" si="158"/>
        <v>0</v>
      </c>
      <c r="X821" s="137">
        <f t="shared" si="154"/>
        <v>0</v>
      </c>
      <c r="Y821" s="137">
        <f t="shared" si="159"/>
        <v>0</v>
      </c>
      <c r="Z821" s="137">
        <v>280487.8</v>
      </c>
      <c r="AA821" s="137">
        <f t="shared" si="155"/>
        <v>56112.200000000012</v>
      </c>
      <c r="AB821" s="146">
        <f t="shared" si="162"/>
        <v>274988.03921568627</v>
      </c>
      <c r="AC821" s="147">
        <f t="shared" si="156"/>
        <v>5499.760784313723</v>
      </c>
      <c r="AD821" s="137">
        <v>280487.8</v>
      </c>
      <c r="AE821" s="138">
        <v>0.1</v>
      </c>
      <c r="AF821" s="137">
        <f t="shared" si="163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hidden="1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861</v>
      </c>
      <c r="K822" s="119" t="s">
        <v>862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3"/>
        <v>4400</v>
      </c>
      <c r="U822" s="137">
        <f t="shared" si="157"/>
        <v>224400</v>
      </c>
      <c r="V822" s="137">
        <v>224400</v>
      </c>
      <c r="W822" s="137">
        <f t="shared" si="158"/>
        <v>0</v>
      </c>
      <c r="X822" s="137">
        <f t="shared" si="154"/>
        <v>0</v>
      </c>
      <c r="Y822" s="137">
        <f t="shared" si="159"/>
        <v>0</v>
      </c>
      <c r="Z822" s="137">
        <v>157273.20000000001</v>
      </c>
      <c r="AA822" s="137">
        <f t="shared" si="155"/>
        <v>67126.799999999988</v>
      </c>
      <c r="AB822" s="146">
        <f t="shared" si="162"/>
        <v>154189.4117647059</v>
      </c>
      <c r="AC822" s="147">
        <f t="shared" si="156"/>
        <v>3083.7882352941087</v>
      </c>
      <c r="AD822" s="137">
        <f>Z822*0.972201473425119-Q822</f>
        <v>152901.23677028343</v>
      </c>
      <c r="AE822" s="138">
        <v>0.1</v>
      </c>
      <c r="AF822" s="137">
        <f t="shared" si="163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hidden="1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851</v>
      </c>
      <c r="G823" s="119" t="s">
        <v>851</v>
      </c>
      <c r="H823" s="119" t="s">
        <v>851</v>
      </c>
      <c r="I823" s="119" t="s">
        <v>168</v>
      </c>
      <c r="J823" s="119" t="s">
        <v>169</v>
      </c>
      <c r="K823" s="119" t="s">
        <v>170</v>
      </c>
      <c r="L823" s="119" t="s">
        <v>851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3"/>
        <v>21882.352799999997</v>
      </c>
      <c r="U823" s="137">
        <f t="shared" si="157"/>
        <v>568941.17279999994</v>
      </c>
      <c r="V823" s="137">
        <v>558000</v>
      </c>
      <c r="W823" s="137">
        <f t="shared" si="158"/>
        <v>10941.172799999942</v>
      </c>
      <c r="X823" s="137">
        <f t="shared" si="154"/>
        <v>10520.358461538406</v>
      </c>
      <c r="Y823" s="137">
        <f t="shared" si="159"/>
        <v>420.81433846153595</v>
      </c>
      <c r="Z823" s="137">
        <v>558000</v>
      </c>
      <c r="AA823" s="137">
        <f t="shared" si="155"/>
        <v>0</v>
      </c>
      <c r="AB823" s="146">
        <f t="shared" si="162"/>
        <v>536538.4615384615</v>
      </c>
      <c r="AC823" s="147">
        <f t="shared" si="156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3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3"/>
        <v>0</v>
      </c>
      <c r="U824" s="137">
        <f t="shared" si="157"/>
        <v>640000</v>
      </c>
      <c r="V824" s="137">
        <v>512000</v>
      </c>
      <c r="W824" s="137">
        <f t="shared" si="158"/>
        <v>128000</v>
      </c>
      <c r="X824" s="137">
        <f t="shared" si="154"/>
        <v>128000</v>
      </c>
      <c r="Y824" s="137">
        <f t="shared" si="159"/>
        <v>0</v>
      </c>
      <c r="Z824" s="137">
        <v>584390.80000000005</v>
      </c>
      <c r="AA824" s="137">
        <f t="shared" si="155"/>
        <v>-72390.800000000047</v>
      </c>
      <c r="AB824" s="146">
        <f t="shared" si="162"/>
        <v>584390.80000000005</v>
      </c>
      <c r="AC824" s="147">
        <f t="shared" si="156"/>
        <v>0</v>
      </c>
      <c r="AD824" s="137">
        <v>489875.84484820499</v>
      </c>
      <c r="AE824" s="138">
        <v>0.17647058823529399</v>
      </c>
      <c r="AF824" s="137">
        <f t="shared" si="163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hidden="1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</v>
      </c>
      <c r="O825" s="135" t="s">
        <v>1681</v>
      </c>
      <c r="P825" s="135"/>
      <c r="Q825" s="137">
        <v>0</v>
      </c>
      <c r="R825" s="137">
        <v>0</v>
      </c>
      <c r="S825" s="137">
        <v>242735.29</v>
      </c>
      <c r="T825" s="137">
        <f t="shared" si="153"/>
        <v>0</v>
      </c>
      <c r="U825" s="137">
        <f t="shared" si="157"/>
        <v>242735.29</v>
      </c>
      <c r="V825" s="137">
        <v>246390</v>
      </c>
      <c r="W825" s="137">
        <f t="shared" si="158"/>
        <v>-3654.7099999999919</v>
      </c>
      <c r="X825" s="137">
        <f t="shared" si="154"/>
        <v>-3654.7099999999919</v>
      </c>
      <c r="Y825" s="137">
        <f t="shared" si="159"/>
        <v>0</v>
      </c>
      <c r="Z825" s="137">
        <v>242735.29</v>
      </c>
      <c r="AA825" s="137">
        <f t="shared" si="155"/>
        <v>3654.7099999999919</v>
      </c>
      <c r="AB825" s="146">
        <f t="shared" si="162"/>
        <v>242735.29</v>
      </c>
      <c r="AC825" s="147">
        <f t="shared" si="156"/>
        <v>0</v>
      </c>
      <c r="AD825" s="137">
        <f>(Z825-Q825)*0.826045217867759</f>
        <v>200510.32551224367</v>
      </c>
      <c r="AE825" s="138">
        <v>0.11269173273981201</v>
      </c>
      <c r="AF825" s="137">
        <f t="shared" si="163"/>
        <v>22595.856014198471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hidden="1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593</v>
      </c>
      <c r="G826" s="119" t="s">
        <v>593</v>
      </c>
      <c r="H826" s="119" t="s">
        <v>593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3"/>
        <v>9503.8768</v>
      </c>
      <c r="U826" s="137">
        <f t="shared" si="157"/>
        <v>247100.79680000001</v>
      </c>
      <c r="V826" s="137">
        <v>247100</v>
      </c>
      <c r="W826" s="137">
        <f t="shared" si="158"/>
        <v>0.79680000001098961</v>
      </c>
      <c r="X826" s="137">
        <f t="shared" si="154"/>
        <v>0.76615384616441307</v>
      </c>
      <c r="Y826" s="137">
        <f t="shared" si="159"/>
        <v>3.064615384657654E-2</v>
      </c>
      <c r="Z826" s="137">
        <v>286122.3</v>
      </c>
      <c r="AA826" s="137">
        <f t="shared" si="155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6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3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881</v>
      </c>
      <c r="G827" s="119" t="s">
        <v>881</v>
      </c>
      <c r="H827" s="119" t="s">
        <v>881</v>
      </c>
      <c r="I827" s="119" t="s">
        <v>168</v>
      </c>
      <c r="J827" s="119" t="s">
        <v>861</v>
      </c>
      <c r="K827" s="119" t="s">
        <v>862</v>
      </c>
      <c r="L827" s="119" t="s">
        <v>881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3"/>
        <v>13300</v>
      </c>
      <c r="U827" s="137">
        <f t="shared" si="157"/>
        <v>678300</v>
      </c>
      <c r="V827" s="137">
        <v>678300</v>
      </c>
      <c r="W827" s="137">
        <f t="shared" si="158"/>
        <v>0</v>
      </c>
      <c r="X827" s="137">
        <f t="shared" si="154"/>
        <v>0</v>
      </c>
      <c r="Y827" s="137">
        <f t="shared" si="159"/>
        <v>0</v>
      </c>
      <c r="Z827" s="137">
        <v>574562.19999999995</v>
      </c>
      <c r="AA827" s="137">
        <f t="shared" si="155"/>
        <v>156883.76815399993</v>
      </c>
      <c r="AB827" s="146">
        <f>(Z827-Q827)/1.02+50981.97/1.02</f>
        <v>561174.7076921569</v>
      </c>
      <c r="AC827" s="147">
        <f t="shared" si="156"/>
        <v>13387.492307843058</v>
      </c>
      <c r="AD827" s="137">
        <f>Z827*0.972201473425119-Q827</f>
        <v>505444.24926037795</v>
      </c>
      <c r="AE827" s="138">
        <v>0.1</v>
      </c>
      <c r="AF827" s="137">
        <f t="shared" si="163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hidden="1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881</v>
      </c>
      <c r="G828" s="119" t="s">
        <v>881</v>
      </c>
      <c r="H828" s="119" t="s">
        <v>881</v>
      </c>
      <c r="I828" s="119" t="s">
        <v>168</v>
      </c>
      <c r="J828" s="119" t="s">
        <v>861</v>
      </c>
      <c r="K828" s="119" t="s">
        <v>862</v>
      </c>
      <c r="L828" s="119" t="s">
        <v>881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3"/>
        <v>5800</v>
      </c>
      <c r="U828" s="137">
        <f t="shared" si="157"/>
        <v>150800</v>
      </c>
      <c r="V828" s="137">
        <v>150800</v>
      </c>
      <c r="W828" s="137">
        <f t="shared" si="158"/>
        <v>0</v>
      </c>
      <c r="X828" s="137">
        <f t="shared" si="154"/>
        <v>0</v>
      </c>
      <c r="Y828" s="137">
        <f t="shared" si="159"/>
        <v>0</v>
      </c>
      <c r="Z828" s="137">
        <v>126574.79</v>
      </c>
      <c r="AA828" s="137">
        <f t="shared" si="155"/>
        <v>24225.210000000006</v>
      </c>
      <c r="AB828" s="146">
        <f>Z828/1.04+489.21/1.04</f>
        <v>122176.92307692306</v>
      </c>
      <c r="AC828" s="147">
        <f t="shared" si="156"/>
        <v>4397.8669230769301</v>
      </c>
      <c r="AD828" s="137">
        <f>Z828</f>
        <v>126574.79</v>
      </c>
      <c r="AE828" s="138">
        <v>0.1</v>
      </c>
      <c r="AF828" s="137">
        <f t="shared" si="163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hidden="1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596</v>
      </c>
      <c r="G829" s="119" t="s">
        <v>596</v>
      </c>
      <c r="H829" s="119" t="s">
        <v>596</v>
      </c>
      <c r="I829" s="119" t="s">
        <v>168</v>
      </c>
      <c r="J829" s="119" t="s">
        <v>169</v>
      </c>
      <c r="K829" s="119" t="s">
        <v>170</v>
      </c>
      <c r="L829" s="119" t="s">
        <v>596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3"/>
        <v>200</v>
      </c>
      <c r="U829" s="137">
        <f t="shared" si="157"/>
        <v>10200</v>
      </c>
      <c r="V829" s="137">
        <v>10200</v>
      </c>
      <c r="W829" s="137">
        <f t="shared" si="158"/>
        <v>0</v>
      </c>
      <c r="X829" s="137">
        <f t="shared" si="154"/>
        <v>0</v>
      </c>
      <c r="Y829" s="137">
        <f t="shared" si="159"/>
        <v>0</v>
      </c>
      <c r="Z829" s="137">
        <v>10199.5</v>
      </c>
      <c r="AA829" s="137">
        <f t="shared" si="155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6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3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882</v>
      </c>
      <c r="G830" s="119" t="s">
        <v>882</v>
      </c>
      <c r="H830" s="119" t="s">
        <v>882</v>
      </c>
      <c r="I830" s="119" t="s">
        <v>168</v>
      </c>
      <c r="J830" s="119" t="s">
        <v>861</v>
      </c>
      <c r="K830" s="119" t="s">
        <v>862</v>
      </c>
      <c r="L830" s="119" t="s">
        <v>882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3"/>
        <v>2800</v>
      </c>
      <c r="U830" s="137">
        <f t="shared" si="157"/>
        <v>142800</v>
      </c>
      <c r="V830" s="137">
        <v>142800</v>
      </c>
      <c r="W830" s="137">
        <f t="shared" si="158"/>
        <v>0</v>
      </c>
      <c r="X830" s="137">
        <f t="shared" si="154"/>
        <v>0</v>
      </c>
      <c r="Y830" s="137">
        <f t="shared" si="159"/>
        <v>0</v>
      </c>
      <c r="Z830" s="137">
        <v>130247.1</v>
      </c>
      <c r="AA830" s="137">
        <f t="shared" si="155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6"/>
        <v>2553.8647058823553</v>
      </c>
      <c r="AD830" s="137">
        <f>Z830*0.972201473425119-Q830</f>
        <v>126626.42252934881</v>
      </c>
      <c r="AE830" s="138">
        <v>0.1</v>
      </c>
      <c r="AF830" s="137">
        <f t="shared" si="163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hidden="1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524</v>
      </c>
      <c r="G831" s="119" t="s">
        <v>524</v>
      </c>
      <c r="H831" s="119" t="s">
        <v>524</v>
      </c>
      <c r="I831" s="131" t="s">
        <v>241</v>
      </c>
      <c r="J831" s="119" t="s">
        <v>242</v>
      </c>
      <c r="K831" s="119" t="s">
        <v>243</v>
      </c>
      <c r="L831" s="119" t="s">
        <v>1642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3"/>
        <v>499458.24460000003</v>
      </c>
      <c r="U831" s="137">
        <f t="shared" si="157"/>
        <v>1009109.5146000001</v>
      </c>
      <c r="V831" s="137">
        <v>292001</v>
      </c>
      <c r="W831" s="137">
        <f t="shared" si="158"/>
        <v>717108.51460000011</v>
      </c>
      <c r="X831" s="137">
        <f t="shared" si="154"/>
        <v>362176.01747474755</v>
      </c>
      <c r="Y831" s="137">
        <f t="shared" si="159"/>
        <v>354932.49712525256</v>
      </c>
      <c r="Z831" s="137">
        <v>35000</v>
      </c>
      <c r="AA831" s="137">
        <f t="shared" si="155"/>
        <v>257001</v>
      </c>
      <c r="AB831" s="146">
        <v>31665.850000000006</v>
      </c>
      <c r="AC831" s="147">
        <f t="shared" si="156"/>
        <v>3334.1499999999942</v>
      </c>
      <c r="AD831" s="137">
        <v>290997.37129124597</v>
      </c>
      <c r="AE831" s="138">
        <v>0.17647058823529399</v>
      </c>
      <c r="AF831" s="137">
        <f t="shared" si="163"/>
        <v>51352.477286690431</v>
      </c>
      <c r="AG831" s="137">
        <f>AB831-Z831+AF831</f>
        <v>48018.327286690437</v>
      </c>
      <c r="AH831" s="154"/>
      <c r="AI831" s="154"/>
      <c r="AJ831" s="135" t="s">
        <v>556</v>
      </c>
      <c r="AK831" s="119" t="s">
        <v>556</v>
      </c>
      <c r="AM831" s="131"/>
    </row>
    <row r="832" spans="1:39" s="119" customFormat="1" ht="15" hidden="1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233" t="s">
        <v>1388</v>
      </c>
      <c r="M832" s="234" t="s">
        <v>1699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3"/>
        <v>0</v>
      </c>
      <c r="U832" s="137">
        <f t="shared" si="157"/>
        <v>100000</v>
      </c>
      <c r="V832" s="137">
        <v>100000</v>
      </c>
      <c r="W832" s="137">
        <f t="shared" si="158"/>
        <v>0</v>
      </c>
      <c r="X832" s="137">
        <f t="shared" si="154"/>
        <v>0</v>
      </c>
      <c r="Y832" s="137">
        <f t="shared" si="159"/>
        <v>0</v>
      </c>
      <c r="Z832" s="137">
        <v>209115.89045454501</v>
      </c>
      <c r="AA832" s="137">
        <f t="shared" si="155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6"/>
        <v>109115.89045454501</v>
      </c>
      <c r="AD832" s="137">
        <f>209115.890454545-Q832</f>
        <v>100000</v>
      </c>
      <c r="AE832" s="135">
        <v>0</v>
      </c>
      <c r="AF832" s="137">
        <f t="shared" si="163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3"/>
        <v>800</v>
      </c>
      <c r="U833" s="137">
        <f t="shared" si="157"/>
        <v>20800</v>
      </c>
      <c r="V833" s="137">
        <v>20800</v>
      </c>
      <c r="W833" s="137">
        <f t="shared" si="158"/>
        <v>0</v>
      </c>
      <c r="X833" s="137">
        <f t="shared" si="154"/>
        <v>0</v>
      </c>
      <c r="Y833" s="137">
        <f t="shared" si="159"/>
        <v>0</v>
      </c>
      <c r="Z833" s="137">
        <v>17944.03</v>
      </c>
      <c r="AA833" s="137">
        <f t="shared" si="155"/>
        <v>2855.9700000000012</v>
      </c>
      <c r="AB833" s="146">
        <f t="shared" ref="AB833:AB845" si="164">IF(O833="返货",Z833/(1+N833),IF(O833="返现",Z833,IF(O833="折扣",Z833*N833,IF(O833="无",Z833))))</f>
        <v>17253.875</v>
      </c>
      <c r="AC833" s="147">
        <f t="shared" si="156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3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hidden="1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734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5">S834*N834</f>
        <v>54000</v>
      </c>
      <c r="U834" s="137">
        <f t="shared" si="157"/>
        <v>2754000</v>
      </c>
      <c r="V834" s="137">
        <v>2740301.54</v>
      </c>
      <c r="W834" s="137">
        <f t="shared" si="158"/>
        <v>13698.459999999963</v>
      </c>
      <c r="X834" s="137">
        <f t="shared" ref="X834:X897" si="166">W834/(1+N834)</f>
        <v>13429.862745098002</v>
      </c>
      <c r="Y834" s="137">
        <f t="shared" si="159"/>
        <v>268.5972549019607</v>
      </c>
      <c r="Z834" s="137">
        <v>2786853.5</v>
      </c>
      <c r="AA834" s="137">
        <f t="shared" ref="AA834:AA897" si="167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8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3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hidden="1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</v>
      </c>
      <c r="O835" s="135" t="s">
        <v>1681</v>
      </c>
      <c r="P835" s="135" t="s">
        <v>1679</v>
      </c>
      <c r="Q835" s="137">
        <v>0</v>
      </c>
      <c r="R835" s="137">
        <v>0</v>
      </c>
      <c r="S835" s="137">
        <v>13822.16</v>
      </c>
      <c r="T835" s="137">
        <f t="shared" si="165"/>
        <v>0</v>
      </c>
      <c r="U835" s="137">
        <f t="shared" ref="U835:U898" si="169">R835+S835+T835</f>
        <v>13822.16</v>
      </c>
      <c r="V835" s="137">
        <v>0</v>
      </c>
      <c r="W835" s="137">
        <f t="shared" ref="W835:W898" si="170">U835-V835</f>
        <v>13822.16</v>
      </c>
      <c r="X835" s="137">
        <f t="shared" si="166"/>
        <v>13822.16</v>
      </c>
      <c r="Y835" s="137">
        <f t="shared" ref="Y835:Y898" si="171">W835-X835</f>
        <v>0</v>
      </c>
      <c r="Z835" s="137">
        <v>45027.01</v>
      </c>
      <c r="AA835" s="137">
        <f t="shared" si="167"/>
        <v>-45027.01</v>
      </c>
      <c r="AB835" s="146">
        <f>Z835/(1+8%)+13822.16</f>
        <v>55513.83592592593</v>
      </c>
      <c r="AC835" s="147">
        <f t="shared" si="168"/>
        <v>-10486.825925925928</v>
      </c>
      <c r="AD835" s="137">
        <v>45027.01</v>
      </c>
      <c r="AE835" s="135">
        <v>0.09</v>
      </c>
      <c r="AF835" s="137">
        <f t="shared" si="163"/>
        <v>4052.4308999999998</v>
      </c>
      <c r="AG835" s="137"/>
      <c r="AH835" s="137"/>
      <c r="AI835" s="137"/>
      <c r="AJ835" s="135" t="s">
        <v>52</v>
      </c>
    </row>
    <row r="836" spans="1:39" s="119" customFormat="1" ht="15" hidden="1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883</v>
      </c>
      <c r="G836" s="119" t="s">
        <v>883</v>
      </c>
      <c r="H836" s="119" t="s">
        <v>883</v>
      </c>
      <c r="I836" s="119" t="s">
        <v>168</v>
      </c>
      <c r="J836" s="119" t="s">
        <v>169</v>
      </c>
      <c r="K836" s="119" t="s">
        <v>170</v>
      </c>
      <c r="L836" s="119" t="s">
        <v>883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5"/>
        <v>6000</v>
      </c>
      <c r="U836" s="137">
        <f t="shared" si="169"/>
        <v>306000</v>
      </c>
      <c r="V836" s="137">
        <v>285600</v>
      </c>
      <c r="W836" s="137">
        <f t="shared" si="170"/>
        <v>20400</v>
      </c>
      <c r="X836" s="137">
        <f t="shared" si="166"/>
        <v>20000</v>
      </c>
      <c r="Y836" s="137">
        <f t="shared" si="171"/>
        <v>400</v>
      </c>
      <c r="Z836" s="137">
        <v>285599.3</v>
      </c>
      <c r="AA836" s="137">
        <f t="shared" si="167"/>
        <v>0.70000000001164153</v>
      </c>
      <c r="AB836" s="146">
        <f t="shared" si="164"/>
        <v>279999.31372549018</v>
      </c>
      <c r="AC836" s="147">
        <f t="shared" si="168"/>
        <v>5599.9862745098071</v>
      </c>
      <c r="AD836" s="137">
        <f t="shared" ref="AD836:AD837" si="172">(Z836-Q836)*0.89807640489087</f>
        <v>256489.99258334906</v>
      </c>
      <c r="AE836" s="138">
        <v>0.11269173273981201</v>
      </c>
      <c r="AF836" s="137">
        <f t="shared" si="163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5"/>
        <v>24400</v>
      </c>
      <c r="U837" s="137">
        <f t="shared" si="169"/>
        <v>1244400</v>
      </c>
      <c r="V837" s="137">
        <v>1018400</v>
      </c>
      <c r="W837" s="137">
        <f t="shared" si="170"/>
        <v>226000</v>
      </c>
      <c r="X837" s="137">
        <f t="shared" si="166"/>
        <v>221568.62745098039</v>
      </c>
      <c r="Y837" s="137">
        <f t="shared" si="171"/>
        <v>4431.3725490196084</v>
      </c>
      <c r="Z837" s="137">
        <v>932029.2</v>
      </c>
      <c r="AA837" s="137">
        <f t="shared" si="167"/>
        <v>86370.800000000047</v>
      </c>
      <c r="AB837" s="146">
        <f t="shared" si="164"/>
        <v>913754.1176470588</v>
      </c>
      <c r="AC837" s="147">
        <f t="shared" si="168"/>
        <v>18275.082352941157</v>
      </c>
      <c r="AD837" s="137">
        <f t="shared" si="172"/>
        <v>837033.43318931363</v>
      </c>
      <c r="AE837" s="138">
        <v>0.11269173273981201</v>
      </c>
      <c r="AF837" s="137">
        <f t="shared" si="163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hidden="1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600</v>
      </c>
      <c r="K838" s="119" t="s">
        <v>879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5"/>
        <v>1600</v>
      </c>
      <c r="U838" s="137">
        <f t="shared" si="169"/>
        <v>81600</v>
      </c>
      <c r="V838" s="137">
        <v>81600</v>
      </c>
      <c r="W838" s="137">
        <f t="shared" si="170"/>
        <v>0</v>
      </c>
      <c r="X838" s="137">
        <f t="shared" si="166"/>
        <v>0</v>
      </c>
      <c r="Y838" s="137">
        <f t="shared" si="171"/>
        <v>0</v>
      </c>
      <c r="Z838" s="137">
        <v>90213.6</v>
      </c>
      <c r="AA838" s="137">
        <f t="shared" si="167"/>
        <v>-8613.6000000000058</v>
      </c>
      <c r="AB838" s="146">
        <f t="shared" si="164"/>
        <v>88444.705882352951</v>
      </c>
      <c r="AC838" s="147">
        <f t="shared" si="168"/>
        <v>1768.8941176470544</v>
      </c>
      <c r="AD838" s="137">
        <v>90213.6</v>
      </c>
      <c r="AE838" s="138">
        <v>0.1</v>
      </c>
      <c r="AF838" s="137">
        <f t="shared" si="163"/>
        <v>9021.36</v>
      </c>
      <c r="AG838" s="137">
        <v>0</v>
      </c>
      <c r="AH838" s="154"/>
      <c r="AI838" s="154"/>
      <c r="AJ838" s="135" t="s">
        <v>884</v>
      </c>
      <c r="AK838" s="119" t="s">
        <v>884</v>
      </c>
      <c r="AM838" s="119" t="s">
        <v>172</v>
      </c>
    </row>
    <row r="839" spans="1:39" s="119" customFormat="1" ht="15" hidden="1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861</v>
      </c>
      <c r="K839" s="119" t="s">
        <v>862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5"/>
        <v>600</v>
      </c>
      <c r="U839" s="137">
        <f t="shared" si="169"/>
        <v>30600</v>
      </c>
      <c r="V839" s="137">
        <v>30600</v>
      </c>
      <c r="W839" s="137">
        <f t="shared" si="170"/>
        <v>0</v>
      </c>
      <c r="X839" s="137">
        <f t="shared" si="166"/>
        <v>0</v>
      </c>
      <c r="Y839" s="137">
        <f t="shared" si="171"/>
        <v>0</v>
      </c>
      <c r="Z839" s="137">
        <v>0</v>
      </c>
      <c r="AA839" s="137">
        <f t="shared" si="167"/>
        <v>30600</v>
      </c>
      <c r="AB839" s="146">
        <f t="shared" si="164"/>
        <v>0</v>
      </c>
      <c r="AC839" s="147">
        <f t="shared" si="168"/>
        <v>0</v>
      </c>
      <c r="AD839" s="137">
        <f>Z839*0.972201473425119-Q839</f>
        <v>0</v>
      </c>
      <c r="AE839" s="138">
        <v>0.1</v>
      </c>
      <c r="AF839" s="137">
        <f t="shared" si="163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hidden="1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528</v>
      </c>
      <c r="G840" s="119" t="s">
        <v>529</v>
      </c>
      <c r="H840" s="119" t="s">
        <v>529</v>
      </c>
      <c r="I840" s="131" t="s">
        <v>241</v>
      </c>
      <c r="J840" s="119" t="s">
        <v>242</v>
      </c>
      <c r="K840" s="119" t="s">
        <v>243</v>
      </c>
      <c r="L840" s="119" t="s">
        <v>528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5"/>
        <v>0</v>
      </c>
      <c r="U840" s="137">
        <f t="shared" si="169"/>
        <v>1170000</v>
      </c>
      <c r="V840" s="137">
        <v>999637.5</v>
      </c>
      <c r="W840" s="137">
        <f t="shared" si="170"/>
        <v>170362.5</v>
      </c>
      <c r="X840" s="137">
        <f t="shared" si="166"/>
        <v>170362.5</v>
      </c>
      <c r="Y840" s="137">
        <f t="shared" si="171"/>
        <v>0</v>
      </c>
      <c r="Z840" s="137">
        <v>1043968.5</v>
      </c>
      <c r="AA840" s="137">
        <f t="shared" si="167"/>
        <v>-44331</v>
      </c>
      <c r="AB840" s="146">
        <f t="shared" si="164"/>
        <v>1043968.5</v>
      </c>
      <c r="AC840" s="147">
        <f t="shared" si="168"/>
        <v>0</v>
      </c>
      <c r="AD840" s="137">
        <v>875124.91800420696</v>
      </c>
      <c r="AE840" s="138">
        <v>0.17647058823529399</v>
      </c>
      <c r="AF840" s="137">
        <f t="shared" si="163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hidden="1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627</v>
      </c>
      <c r="G841" s="119" t="s">
        <v>627</v>
      </c>
      <c r="H841" s="119" t="s">
        <v>627</v>
      </c>
      <c r="I841" s="119" t="s">
        <v>168</v>
      </c>
      <c r="J841" s="119" t="s">
        <v>169</v>
      </c>
      <c r="K841" s="119" t="s">
        <v>170</v>
      </c>
      <c r="L841" s="119" t="s">
        <v>627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5"/>
        <v>53537.272000000004</v>
      </c>
      <c r="U841" s="137">
        <f t="shared" si="169"/>
        <v>1391969.0720000002</v>
      </c>
      <c r="V841" s="137">
        <v>1391967</v>
      </c>
      <c r="W841" s="137">
        <f t="shared" si="170"/>
        <v>2.0720000001601875</v>
      </c>
      <c r="X841" s="137">
        <f t="shared" si="166"/>
        <v>1.9923076924617187</v>
      </c>
      <c r="Y841" s="137">
        <f t="shared" si="171"/>
        <v>7.9692307698468801E-2</v>
      </c>
      <c r="Z841" s="137">
        <v>1357853.3</v>
      </c>
      <c r="AA841" s="137">
        <f t="shared" si="167"/>
        <v>34113.699999999953</v>
      </c>
      <c r="AB841" s="146">
        <f t="shared" si="164"/>
        <v>1305628.173076923</v>
      </c>
      <c r="AC841" s="147">
        <f t="shared" si="168"/>
        <v>52225.126923077041</v>
      </c>
      <c r="AD841" s="137">
        <f t="shared" ref="AD841:AD843" si="173">(Z841-Q841)*0.89807640489087</f>
        <v>1219456.010033204</v>
      </c>
      <c r="AE841" s="138">
        <v>0.11269173273981201</v>
      </c>
      <c r="AF841" s="137">
        <f t="shared" si="163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885</v>
      </c>
      <c r="G842" s="119" t="s">
        <v>886</v>
      </c>
      <c r="H842" s="119" t="s">
        <v>886</v>
      </c>
      <c r="I842" s="119" t="s">
        <v>168</v>
      </c>
      <c r="J842" s="119" t="s">
        <v>169</v>
      </c>
      <c r="K842" s="119" t="s">
        <v>170</v>
      </c>
      <c r="L842" s="119" t="s">
        <v>887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5"/>
        <v>4779.7156000000004</v>
      </c>
      <c r="U842" s="137">
        <f t="shared" si="169"/>
        <v>243765.49559999999</v>
      </c>
      <c r="V842" s="137">
        <v>243765.5</v>
      </c>
      <c r="W842" s="137">
        <f t="shared" si="170"/>
        <v>-4.4000000052619725E-3</v>
      </c>
      <c r="X842" s="137">
        <f t="shared" si="166"/>
        <v>-4.3137254953548752E-3</v>
      </c>
      <c r="Y842" s="137">
        <f t="shared" si="171"/>
        <v>-8.6274509907097348E-5</v>
      </c>
      <c r="Z842" s="137">
        <v>197166.3</v>
      </c>
      <c r="AA842" s="137">
        <f t="shared" si="167"/>
        <v>46599.200000000012</v>
      </c>
      <c r="AB842" s="146">
        <f t="shared" si="164"/>
        <v>193300.29411764705</v>
      </c>
      <c r="AC842" s="147">
        <f t="shared" si="168"/>
        <v>3866.0058823529398</v>
      </c>
      <c r="AD842" s="137">
        <f t="shared" si="173"/>
        <v>177070.40186963475</v>
      </c>
      <c r="AE842" s="138">
        <v>0.11269173273981201</v>
      </c>
      <c r="AF842" s="137">
        <f t="shared" si="163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hidden="1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888</v>
      </c>
      <c r="G843" s="119" t="s">
        <v>888</v>
      </c>
      <c r="H843" s="119" t="s">
        <v>888</v>
      </c>
      <c r="I843" s="119" t="s">
        <v>168</v>
      </c>
      <c r="J843" s="119" t="s">
        <v>169</v>
      </c>
      <c r="K843" s="119" t="s">
        <v>170</v>
      </c>
      <c r="L843" s="119" t="s">
        <v>888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5"/>
        <v>3000</v>
      </c>
      <c r="U843" s="137">
        <f t="shared" si="169"/>
        <v>53000</v>
      </c>
      <c r="V843" s="137">
        <v>389249.9</v>
      </c>
      <c r="W843" s="137">
        <f t="shared" si="170"/>
        <v>-336249.9</v>
      </c>
      <c r="X843" s="137">
        <f t="shared" si="166"/>
        <v>-317216.88679245283</v>
      </c>
      <c r="Y843" s="137">
        <f t="shared" si="171"/>
        <v>-19033.013207547192</v>
      </c>
      <c r="Z843" s="137">
        <v>389249.1</v>
      </c>
      <c r="AA843" s="137">
        <f t="shared" si="167"/>
        <v>0.80000000004656613</v>
      </c>
      <c r="AB843" s="146">
        <f t="shared" si="164"/>
        <v>367216.13207547163</v>
      </c>
      <c r="AC843" s="147">
        <f t="shared" si="168"/>
        <v>22032.967924528348</v>
      </c>
      <c r="AD843" s="137">
        <f t="shared" si="173"/>
        <v>349575.43233500671</v>
      </c>
      <c r="AE843" s="138">
        <v>0.11269173273981201</v>
      </c>
      <c r="AF843" s="137">
        <f t="shared" si="163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hidden="1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5"/>
        <v>1800</v>
      </c>
      <c r="U844" s="137">
        <f t="shared" si="169"/>
        <v>31800</v>
      </c>
      <c r="V844" s="137">
        <v>15607.9</v>
      </c>
      <c r="W844" s="137">
        <f t="shared" si="170"/>
        <v>16192.1</v>
      </c>
      <c r="X844" s="137">
        <f t="shared" si="166"/>
        <v>15275.566037735849</v>
      </c>
      <c r="Y844" s="137">
        <f t="shared" si="171"/>
        <v>916.53396226415134</v>
      </c>
      <c r="Z844" s="137">
        <v>15607.9</v>
      </c>
      <c r="AA844" s="137">
        <f t="shared" si="167"/>
        <v>0</v>
      </c>
      <c r="AB844" s="146">
        <f t="shared" si="164"/>
        <v>14724.433962264149</v>
      </c>
      <c r="AC844" s="147">
        <f t="shared" si="168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3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hidden="1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5"/>
        <v>98700</v>
      </c>
      <c r="U845" s="137">
        <f t="shared" si="169"/>
        <v>1743700</v>
      </c>
      <c r="V845" s="137">
        <v>1401842.2</v>
      </c>
      <c r="W845" s="137">
        <f t="shared" si="170"/>
        <v>341857.80000000005</v>
      </c>
      <c r="X845" s="137">
        <f t="shared" si="166"/>
        <v>322507.35849056608</v>
      </c>
      <c r="Y845" s="137">
        <f t="shared" si="171"/>
        <v>19350.441509433964</v>
      </c>
      <c r="Z845" s="137">
        <f>1768992.4-Z846</f>
        <v>1401841.7</v>
      </c>
      <c r="AA845" s="137">
        <f t="shared" si="167"/>
        <v>0.5</v>
      </c>
      <c r="AB845" s="146">
        <f t="shared" si="164"/>
        <v>1322492.1698113207</v>
      </c>
      <c r="AC845" s="147">
        <f t="shared" si="168"/>
        <v>79349.530188679229</v>
      </c>
      <c r="AD845" s="137">
        <f t="shared" ref="AD845:AD846" si="174">(Z845-Q845)*0.89807640489087</f>
        <v>1258960.9541621055</v>
      </c>
      <c r="AE845" s="138">
        <v>0.11269173273981201</v>
      </c>
      <c r="AF845" s="137">
        <f t="shared" si="163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hidden="1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889</v>
      </c>
      <c r="H846" s="119" t="s">
        <v>889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5"/>
        <v>7000</v>
      </c>
      <c r="U846" s="137">
        <f t="shared" si="169"/>
        <v>357000</v>
      </c>
      <c r="V846" s="137">
        <v>357000</v>
      </c>
      <c r="W846" s="137">
        <f t="shared" si="170"/>
        <v>0</v>
      </c>
      <c r="X846" s="137">
        <f t="shared" si="166"/>
        <v>0</v>
      </c>
      <c r="Y846" s="137">
        <f t="shared" si="171"/>
        <v>0</v>
      </c>
      <c r="Z846" s="137">
        <f>V846+Q846</f>
        <v>367150.7</v>
      </c>
      <c r="AA846" s="137">
        <f t="shared" si="167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8"/>
        <v>17150.700000000012</v>
      </c>
      <c r="AD846" s="137">
        <f t="shared" si="174"/>
        <v>320613.27654604061</v>
      </c>
      <c r="AE846" s="138">
        <v>0.11269173273981201</v>
      </c>
      <c r="AF846" s="137">
        <f t="shared" si="163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hidden="1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890</v>
      </c>
      <c r="G847" s="119" t="s">
        <v>890</v>
      </c>
      <c r="H847" s="119" t="s">
        <v>890</v>
      </c>
      <c r="I847" s="119" t="s">
        <v>168</v>
      </c>
      <c r="J847" s="119" t="s">
        <v>600</v>
      </c>
      <c r="K847" s="119" t="s">
        <v>879</v>
      </c>
      <c r="L847" s="119" t="s">
        <v>890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5"/>
        <v>10000</v>
      </c>
      <c r="U847" s="137">
        <f t="shared" si="169"/>
        <v>510000</v>
      </c>
      <c r="V847" s="137">
        <v>510000</v>
      </c>
      <c r="W847" s="137">
        <f t="shared" si="170"/>
        <v>0</v>
      </c>
      <c r="X847" s="137">
        <f t="shared" si="166"/>
        <v>0</v>
      </c>
      <c r="Y847" s="137">
        <f t="shared" si="171"/>
        <v>0</v>
      </c>
      <c r="Z847" s="137">
        <v>510000</v>
      </c>
      <c r="AA847" s="137">
        <f t="shared" si="167"/>
        <v>0</v>
      </c>
      <c r="AB847" s="146">
        <f>IF(O847="返货",Z847/(1+N847),IF(O847="返现",Z847,IF(O847="折扣",Z847*N847,IF(O847="无",Z847))))</f>
        <v>500000</v>
      </c>
      <c r="AC847" s="147">
        <f t="shared" si="168"/>
        <v>10000</v>
      </c>
      <c r="AD847" s="137">
        <v>532418</v>
      </c>
      <c r="AE847" s="138">
        <v>0.1</v>
      </c>
      <c r="AF847" s="137">
        <f t="shared" si="163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hidden="1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890</v>
      </c>
      <c r="G848" s="119" t="s">
        <v>890</v>
      </c>
      <c r="H848" s="119" t="s">
        <v>890</v>
      </c>
      <c r="I848" s="119" t="s">
        <v>168</v>
      </c>
      <c r="J848" s="119" t="s">
        <v>861</v>
      </c>
      <c r="K848" s="119" t="s">
        <v>862</v>
      </c>
      <c r="L848" s="119" t="s">
        <v>890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5"/>
        <v>3000</v>
      </c>
      <c r="U848" s="137">
        <f t="shared" si="169"/>
        <v>153000</v>
      </c>
      <c r="V848" s="137">
        <v>153000</v>
      </c>
      <c r="W848" s="137">
        <f t="shared" si="170"/>
        <v>0</v>
      </c>
      <c r="X848" s="137">
        <f t="shared" si="166"/>
        <v>0</v>
      </c>
      <c r="Y848" s="137">
        <f t="shared" si="171"/>
        <v>0</v>
      </c>
      <c r="Z848" s="137">
        <v>22418</v>
      </c>
      <c r="AA848" s="137">
        <f t="shared" si="167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8"/>
        <v>439.56862745097897</v>
      </c>
      <c r="AD848" s="137">
        <f>Z848*0.972201473425119-Q848</f>
        <v>21794.812631244316</v>
      </c>
      <c r="AE848" s="138">
        <v>0.1</v>
      </c>
      <c r="AF848" s="137">
        <f t="shared" si="163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hidden="1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891</v>
      </c>
      <c r="G849" s="119" t="s">
        <v>891</v>
      </c>
      <c r="H849" s="119" t="s">
        <v>891</v>
      </c>
      <c r="I849" s="119" t="s">
        <v>168</v>
      </c>
      <c r="J849" s="119" t="s">
        <v>169</v>
      </c>
      <c r="K849" s="119" t="s">
        <v>170</v>
      </c>
      <c r="L849" s="119" t="s">
        <v>891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5"/>
        <v>1400</v>
      </c>
      <c r="U849" s="137">
        <f t="shared" si="169"/>
        <v>71400</v>
      </c>
      <c r="V849" s="137">
        <v>40000</v>
      </c>
      <c r="W849" s="137">
        <f t="shared" si="170"/>
        <v>31400</v>
      </c>
      <c r="X849" s="137">
        <f t="shared" si="166"/>
        <v>30784.313725490196</v>
      </c>
      <c r="Y849" s="137">
        <f t="shared" si="171"/>
        <v>615.68627450980421</v>
      </c>
      <c r="Z849" s="137">
        <v>40800</v>
      </c>
      <c r="AA849" s="137">
        <f t="shared" si="167"/>
        <v>-800</v>
      </c>
      <c r="AB849" s="146">
        <f>IF(O849="返货",Z849/(1+N849),IF(O849="返现",Z849,IF(O849="折扣",Z849*N849,IF(O849="无",Z849))))</f>
        <v>40000</v>
      </c>
      <c r="AC849" s="147">
        <f t="shared" si="168"/>
        <v>800</v>
      </c>
      <c r="AD849" s="137">
        <f t="shared" ref="AD849:AD850" si="175">(Z849-Q849)*0.89807640489087</f>
        <v>36641.5173195475</v>
      </c>
      <c r="AE849" s="138">
        <v>0.11269173273981201</v>
      </c>
      <c r="AF849" s="137">
        <f t="shared" si="163"/>
        <v>4129.1960769556399</v>
      </c>
      <c r="AG849" s="137">
        <v>0</v>
      </c>
      <c r="AH849" s="154"/>
      <c r="AI849" s="154"/>
      <c r="AJ849" s="135" t="s">
        <v>892</v>
      </c>
      <c r="AK849" s="119" t="s">
        <v>171</v>
      </c>
    </row>
    <row r="850" spans="1:39" s="119" customFormat="1" ht="15" hidden="1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893</v>
      </c>
      <c r="G850" s="119" t="s">
        <v>893</v>
      </c>
      <c r="H850" s="119" t="s">
        <v>893</v>
      </c>
      <c r="I850" s="119" t="s">
        <v>168</v>
      </c>
      <c r="J850" s="119" t="s">
        <v>169</v>
      </c>
      <c r="K850" s="119" t="s">
        <v>170</v>
      </c>
      <c r="L850" s="119" t="s">
        <v>894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5"/>
        <v>0</v>
      </c>
      <c r="U850" s="137">
        <f t="shared" si="169"/>
        <v>20000</v>
      </c>
      <c r="V850" s="137">
        <v>20000</v>
      </c>
      <c r="W850" s="137">
        <f t="shared" si="170"/>
        <v>0</v>
      </c>
      <c r="X850" s="137">
        <f t="shared" si="166"/>
        <v>0</v>
      </c>
      <c r="Y850" s="137">
        <f t="shared" si="171"/>
        <v>0</v>
      </c>
      <c r="Z850" s="137">
        <v>19997.599999999999</v>
      </c>
      <c r="AA850" s="137">
        <f t="shared" si="167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8"/>
        <v>0</v>
      </c>
      <c r="AD850" s="137">
        <f t="shared" si="175"/>
        <v>17959.372714445661</v>
      </c>
      <c r="AE850" s="138">
        <v>0.11269173273981201</v>
      </c>
      <c r="AF850" s="137">
        <f t="shared" si="163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hidden="1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613</v>
      </c>
      <c r="G851" s="119" t="s">
        <v>614</v>
      </c>
      <c r="H851" s="119" t="s">
        <v>614</v>
      </c>
      <c r="I851" s="119" t="s">
        <v>168</v>
      </c>
      <c r="J851" s="119" t="s">
        <v>600</v>
      </c>
      <c r="K851" s="119" t="s">
        <v>879</v>
      </c>
      <c r="L851" s="119" t="s">
        <v>613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5"/>
        <v>4500</v>
      </c>
      <c r="U851" s="137">
        <f t="shared" si="169"/>
        <v>229500</v>
      </c>
      <c r="V851" s="137">
        <v>229500</v>
      </c>
      <c r="W851" s="137">
        <f t="shared" si="170"/>
        <v>0</v>
      </c>
      <c r="X851" s="137">
        <f t="shared" si="166"/>
        <v>0</v>
      </c>
      <c r="Y851" s="137">
        <f t="shared" si="171"/>
        <v>0</v>
      </c>
      <c r="Z851" s="137">
        <v>248569.4</v>
      </c>
      <c r="AA851" s="137">
        <f t="shared" si="167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8"/>
        <v>4873.9098039215605</v>
      </c>
      <c r="AD851" s="137">
        <v>248569.4</v>
      </c>
      <c r="AE851" s="138">
        <v>0.1</v>
      </c>
      <c r="AF851" s="137">
        <f t="shared" si="163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hidden="1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613</v>
      </c>
      <c r="G852" s="119" t="s">
        <v>614</v>
      </c>
      <c r="H852" s="119" t="s">
        <v>614</v>
      </c>
      <c r="I852" s="119" t="s">
        <v>168</v>
      </c>
      <c r="J852" s="119" t="s">
        <v>861</v>
      </c>
      <c r="K852" s="119" t="s">
        <v>862</v>
      </c>
      <c r="L852" s="119" t="s">
        <v>613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5"/>
        <v>1400</v>
      </c>
      <c r="U852" s="137">
        <f t="shared" si="169"/>
        <v>71400</v>
      </c>
      <c r="V852" s="137">
        <v>71400</v>
      </c>
      <c r="W852" s="137">
        <f t="shared" si="170"/>
        <v>0</v>
      </c>
      <c r="X852" s="137">
        <f t="shared" si="166"/>
        <v>0</v>
      </c>
      <c r="Y852" s="137">
        <f t="shared" si="171"/>
        <v>0</v>
      </c>
      <c r="Z852" s="137">
        <v>74666.899999999994</v>
      </c>
      <c r="AA852" s="137">
        <f t="shared" si="167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8"/>
        <v>4666.8999999999942</v>
      </c>
      <c r="AD852" s="137">
        <f>Z852*0.972201473425119-Q852</f>
        <v>69324.37019608602</v>
      </c>
      <c r="AE852" s="138">
        <v>0.1</v>
      </c>
      <c r="AF852" s="137">
        <f t="shared" si="163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hidden="1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895</v>
      </c>
      <c r="G853" s="119" t="s">
        <v>896</v>
      </c>
      <c r="H853" s="119" t="s">
        <v>896</v>
      </c>
      <c r="I853" s="119" t="s">
        <v>168</v>
      </c>
      <c r="J853" s="119" t="s">
        <v>169</v>
      </c>
      <c r="K853" s="119" t="s">
        <v>170</v>
      </c>
      <c r="L853" s="119" t="s">
        <v>895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5"/>
        <v>1400</v>
      </c>
      <c r="U853" s="137">
        <f t="shared" si="169"/>
        <v>71400</v>
      </c>
      <c r="V853" s="137">
        <v>71400</v>
      </c>
      <c r="W853" s="137">
        <f t="shared" si="170"/>
        <v>0</v>
      </c>
      <c r="X853" s="137">
        <f t="shared" si="166"/>
        <v>0</v>
      </c>
      <c r="Y853" s="137">
        <f t="shared" si="171"/>
        <v>0</v>
      </c>
      <c r="Z853" s="137">
        <v>86245.5</v>
      </c>
      <c r="AA853" s="137">
        <f t="shared" si="167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8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3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hidden="1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897</v>
      </c>
      <c r="G854" s="119" t="s">
        <v>898</v>
      </c>
      <c r="H854" s="119" t="s">
        <v>899</v>
      </c>
      <c r="I854" s="119" t="s">
        <v>168</v>
      </c>
      <c r="J854" s="119" t="s">
        <v>600</v>
      </c>
      <c r="K854" s="119" t="s">
        <v>879</v>
      </c>
      <c r="L854" s="119" t="s">
        <v>900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5"/>
        <v>5000</v>
      </c>
      <c r="U854" s="137">
        <f t="shared" si="169"/>
        <v>255000</v>
      </c>
      <c r="V854" s="137">
        <v>250000</v>
      </c>
      <c r="W854" s="137">
        <f t="shared" si="170"/>
        <v>5000</v>
      </c>
      <c r="X854" s="137">
        <f t="shared" si="166"/>
        <v>4901.9607843137255</v>
      </c>
      <c r="Y854" s="137">
        <f t="shared" si="171"/>
        <v>98.039215686274474</v>
      </c>
      <c r="Z854" s="137">
        <v>222261.1</v>
      </c>
      <c r="AA854" s="137">
        <f t="shared" si="167"/>
        <v>27738.899999999994</v>
      </c>
      <c r="AB854" s="146">
        <f t="shared" ref="AB854:AB869" si="176">IF(O854="返货",Z854/(1+N854),IF(O854="返现",Z854,IF(O854="折扣",Z854*N854,IF(O854="无",Z854))))</f>
        <v>217903.03921568627</v>
      </c>
      <c r="AC854" s="147">
        <f t="shared" si="168"/>
        <v>4358.0607843137404</v>
      </c>
      <c r="AD854" s="137">
        <v>222261.1</v>
      </c>
      <c r="AE854" s="138">
        <v>0.1</v>
      </c>
      <c r="AF854" s="137">
        <f t="shared" si="163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hidden="1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618</v>
      </c>
      <c r="G855" s="119" t="s">
        <v>619</v>
      </c>
      <c r="H855" s="119" t="s">
        <v>619</v>
      </c>
      <c r="I855" s="119" t="s">
        <v>168</v>
      </c>
      <c r="J855" s="119" t="s">
        <v>169</v>
      </c>
      <c r="K855" s="119" t="s">
        <v>170</v>
      </c>
      <c r="L855" s="119" t="s">
        <v>618</v>
      </c>
      <c r="M855" s="119" t="s">
        <v>45</v>
      </c>
      <c r="N855" s="135">
        <v>0</v>
      </c>
      <c r="O855" s="135" t="s">
        <v>46</v>
      </c>
      <c r="P855" s="135" t="s">
        <v>437</v>
      </c>
      <c r="Q855" s="137">
        <v>0</v>
      </c>
      <c r="R855" s="137">
        <v>0</v>
      </c>
      <c r="S855" s="137">
        <v>440000</v>
      </c>
      <c r="T855" s="137">
        <f t="shared" si="165"/>
        <v>0</v>
      </c>
      <c r="U855" s="137">
        <f t="shared" si="169"/>
        <v>440000</v>
      </c>
      <c r="V855" s="137">
        <v>443800</v>
      </c>
      <c r="W855" s="137">
        <f t="shared" si="170"/>
        <v>-3800</v>
      </c>
      <c r="X855" s="137">
        <f t="shared" si="166"/>
        <v>-3800</v>
      </c>
      <c r="Y855" s="137">
        <f t="shared" si="171"/>
        <v>0</v>
      </c>
      <c r="Z855" s="137">
        <f>432041.1-Z1163</f>
        <v>238241.09999999998</v>
      </c>
      <c r="AA855" s="137">
        <f t="shared" si="167"/>
        <v>205558.90000000002</v>
      </c>
      <c r="AB855" s="146">
        <f t="shared" si="176"/>
        <v>238241.09999999998</v>
      </c>
      <c r="AC855" s="147">
        <f t="shared" si="168"/>
        <v>0</v>
      </c>
      <c r="AD855" s="137">
        <f>(Z855-Q855)*0.89807640489087</f>
        <v>213958.71058524624</v>
      </c>
      <c r="AE855" s="138">
        <v>0.11269173273981201</v>
      </c>
      <c r="AF855" s="137">
        <f t="shared" si="163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hidden="1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901</v>
      </c>
      <c r="G856" s="119" t="s">
        <v>901</v>
      </c>
      <c r="H856" s="119" t="s">
        <v>901</v>
      </c>
      <c r="I856" s="119" t="s">
        <v>168</v>
      </c>
      <c r="J856" s="119" t="s">
        <v>861</v>
      </c>
      <c r="K856" s="119" t="s">
        <v>862</v>
      </c>
      <c r="L856" s="119" t="s">
        <v>901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5"/>
        <v>400</v>
      </c>
      <c r="U856" s="137">
        <f t="shared" si="169"/>
        <v>20400</v>
      </c>
      <c r="V856" s="137">
        <v>20400</v>
      </c>
      <c r="W856" s="137">
        <f t="shared" si="170"/>
        <v>0</v>
      </c>
      <c r="X856" s="137">
        <f t="shared" si="166"/>
        <v>0</v>
      </c>
      <c r="Y856" s="137">
        <f t="shared" si="171"/>
        <v>0</v>
      </c>
      <c r="Z856" s="137">
        <v>9630.9</v>
      </c>
      <c r="AA856" s="137">
        <f t="shared" si="167"/>
        <v>10769.1</v>
      </c>
      <c r="AB856" s="146">
        <f t="shared" si="176"/>
        <v>9442.0588235294108</v>
      </c>
      <c r="AC856" s="147">
        <f t="shared" si="168"/>
        <v>188.84117647058883</v>
      </c>
      <c r="AD856" s="137">
        <f>Z856*0.972201473425119-Q856</f>
        <v>9363.1751704099788</v>
      </c>
      <c r="AE856" s="138">
        <v>0.1</v>
      </c>
      <c r="AF856" s="137">
        <f t="shared" si="163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hidden="1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620</v>
      </c>
      <c r="G857" s="119" t="s">
        <v>620</v>
      </c>
      <c r="H857" s="119" t="s">
        <v>620</v>
      </c>
      <c r="I857" s="119" t="s">
        <v>168</v>
      </c>
      <c r="J857" s="119" t="s">
        <v>600</v>
      </c>
      <c r="K857" s="119" t="s">
        <v>879</v>
      </c>
      <c r="L857" s="119" t="s">
        <v>620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5"/>
        <v>2000</v>
      </c>
      <c r="U857" s="137">
        <f t="shared" si="169"/>
        <v>102000</v>
      </c>
      <c r="V857" s="137">
        <v>102000</v>
      </c>
      <c r="W857" s="137">
        <f t="shared" si="170"/>
        <v>0</v>
      </c>
      <c r="X857" s="137">
        <f t="shared" si="166"/>
        <v>0</v>
      </c>
      <c r="Y857" s="137">
        <f t="shared" si="171"/>
        <v>0</v>
      </c>
      <c r="Z857" s="137">
        <v>93046.8</v>
      </c>
      <c r="AA857" s="137">
        <f t="shared" si="167"/>
        <v>8953.1999999999971</v>
      </c>
      <c r="AB857" s="146">
        <f t="shared" si="176"/>
        <v>91222.352941176476</v>
      </c>
      <c r="AC857" s="147">
        <f t="shared" si="168"/>
        <v>1824.4470588235272</v>
      </c>
      <c r="AD857" s="137">
        <v>93046.8</v>
      </c>
      <c r="AE857" s="138">
        <v>0.1</v>
      </c>
      <c r="AF857" s="137">
        <f t="shared" si="163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hidden="1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620</v>
      </c>
      <c r="G858" s="119" t="s">
        <v>620</v>
      </c>
      <c r="H858" s="119" t="s">
        <v>620</v>
      </c>
      <c r="I858" s="119" t="s">
        <v>168</v>
      </c>
      <c r="J858" s="119" t="s">
        <v>861</v>
      </c>
      <c r="K858" s="119" t="s">
        <v>862</v>
      </c>
      <c r="L858" s="119" t="s">
        <v>620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5"/>
        <v>2400</v>
      </c>
      <c r="U858" s="137">
        <f t="shared" si="169"/>
        <v>122400</v>
      </c>
      <c r="V858" s="137">
        <v>122400</v>
      </c>
      <c r="W858" s="137">
        <f t="shared" si="170"/>
        <v>0</v>
      </c>
      <c r="X858" s="137">
        <f t="shared" si="166"/>
        <v>0</v>
      </c>
      <c r="Y858" s="137">
        <f t="shared" si="171"/>
        <v>0</v>
      </c>
      <c r="Z858" s="137">
        <v>104877.7</v>
      </c>
      <c r="AA858" s="137">
        <f t="shared" si="167"/>
        <v>17522.300000000003</v>
      </c>
      <c r="AB858" s="146">
        <f t="shared" si="176"/>
        <v>102821.27450980392</v>
      </c>
      <c r="AC858" s="147">
        <f t="shared" si="168"/>
        <v>2056.4254901960812</v>
      </c>
      <c r="AD858" s="137">
        <f>Z858*0.972201473425119-Q858</f>
        <v>101962.2544694376</v>
      </c>
      <c r="AE858" s="138">
        <v>0.1</v>
      </c>
      <c r="AF858" s="137">
        <f t="shared" si="163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hidden="1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627</v>
      </c>
      <c r="G859" s="119" t="s">
        <v>627</v>
      </c>
      <c r="H859" s="119" t="s">
        <v>627</v>
      </c>
      <c r="I859" s="119" t="s">
        <v>168</v>
      </c>
      <c r="J859" s="119" t="s">
        <v>169</v>
      </c>
      <c r="K859" s="119" t="s">
        <v>170</v>
      </c>
      <c r="L859" s="119" t="s">
        <v>627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5"/>
        <v>370.39480000000003</v>
      </c>
      <c r="U859" s="137">
        <f t="shared" si="169"/>
        <v>9630.2648000000008</v>
      </c>
      <c r="V859" s="137">
        <v>10000</v>
      </c>
      <c r="W859" s="137">
        <f t="shared" si="170"/>
        <v>-369.73519999999917</v>
      </c>
      <c r="X859" s="137">
        <f t="shared" si="166"/>
        <v>-355.51461538461456</v>
      </c>
      <c r="Y859" s="137">
        <f t="shared" si="171"/>
        <v>-14.22058461538461</v>
      </c>
      <c r="Z859" s="137"/>
      <c r="AA859" s="137">
        <f t="shared" si="167"/>
        <v>10000</v>
      </c>
      <c r="AB859" s="146">
        <f t="shared" si="176"/>
        <v>0</v>
      </c>
      <c r="AC859" s="147">
        <f t="shared" si="168"/>
        <v>0</v>
      </c>
      <c r="AD859" s="137">
        <f t="shared" ref="AD859:AD862" si="177">(Z859-Q859)*0.89807640489087</f>
        <v>0</v>
      </c>
      <c r="AE859" s="138">
        <v>0.11269173273981201</v>
      </c>
      <c r="AF859" s="137">
        <f t="shared" si="163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902</v>
      </c>
      <c r="G860" s="119" t="s">
        <v>902</v>
      </c>
      <c r="H860" s="119" t="s">
        <v>902</v>
      </c>
      <c r="I860" s="119" t="s">
        <v>168</v>
      </c>
      <c r="J860" s="119" t="s">
        <v>169</v>
      </c>
      <c r="K860" s="119" t="s">
        <v>170</v>
      </c>
      <c r="L860" s="119" t="s">
        <v>902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5"/>
        <v>9900</v>
      </c>
      <c r="U860" s="137">
        <f t="shared" si="169"/>
        <v>504900</v>
      </c>
      <c r="V860" s="137">
        <v>504790</v>
      </c>
      <c r="W860" s="137">
        <f t="shared" si="170"/>
        <v>110</v>
      </c>
      <c r="X860" s="137">
        <f t="shared" si="166"/>
        <v>107.84313725490196</v>
      </c>
      <c r="Y860" s="137">
        <f t="shared" si="171"/>
        <v>2.1568627450980387</v>
      </c>
      <c r="Z860" s="137">
        <v>485326.3</v>
      </c>
      <c r="AA860" s="137">
        <f t="shared" si="167"/>
        <v>19463.700000000012</v>
      </c>
      <c r="AB860" s="146">
        <f t="shared" si="176"/>
        <v>475810.09803921566</v>
      </c>
      <c r="AC860" s="147">
        <f t="shared" si="168"/>
        <v>9516.2019607843249</v>
      </c>
      <c r="AD860" s="137">
        <f t="shared" si="177"/>
        <v>435860.09870298783</v>
      </c>
      <c r="AE860" s="138">
        <v>0.11269173273981201</v>
      </c>
      <c r="AF860" s="137">
        <f t="shared" si="163"/>
        <v>49117.829754985185</v>
      </c>
      <c r="AG860" s="137">
        <v>33905.803033787597</v>
      </c>
      <c r="AH860" s="154"/>
      <c r="AI860" s="154"/>
      <c r="AJ860" s="135" t="s">
        <v>892</v>
      </c>
      <c r="AK860" s="119" t="s">
        <v>892</v>
      </c>
    </row>
    <row r="861" spans="1:39" s="119" customFormat="1" ht="15" hidden="1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903</v>
      </c>
      <c r="G861" s="119" t="s">
        <v>903</v>
      </c>
      <c r="H861" s="119" t="s">
        <v>903</v>
      </c>
      <c r="I861" s="119" t="s">
        <v>168</v>
      </c>
      <c r="J861" s="119" t="s">
        <v>169</v>
      </c>
      <c r="K861" s="119" t="s">
        <v>170</v>
      </c>
      <c r="L861" s="119" t="s">
        <v>903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5"/>
        <v>5000</v>
      </c>
      <c r="U861" s="137">
        <f t="shared" si="169"/>
        <v>255000</v>
      </c>
      <c r="V861" s="137">
        <v>265200</v>
      </c>
      <c r="W861" s="137">
        <f t="shared" si="170"/>
        <v>-10200</v>
      </c>
      <c r="X861" s="137">
        <f t="shared" si="166"/>
        <v>-10000</v>
      </c>
      <c r="Y861" s="137">
        <f t="shared" si="171"/>
        <v>-200</v>
      </c>
      <c r="Z861" s="137">
        <v>249478.3</v>
      </c>
      <c r="AA861" s="137">
        <f t="shared" si="167"/>
        <v>15721.700000000012</v>
      </c>
      <c r="AB861" s="146">
        <f t="shared" si="176"/>
        <v>244586.56862745096</v>
      </c>
      <c r="AC861" s="147">
        <f t="shared" si="168"/>
        <v>4891.7313725490239</v>
      </c>
      <c r="AD861" s="137">
        <f t="shared" si="177"/>
        <v>224050.57476228592</v>
      </c>
      <c r="AE861" s="138">
        <v>0.11269173273981201</v>
      </c>
      <c r="AF861" s="137">
        <f t="shared" si="163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hidden="1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904</v>
      </c>
      <c r="G862" s="119" t="s">
        <v>905</v>
      </c>
      <c r="H862" s="119" t="s">
        <v>905</v>
      </c>
      <c r="I862" s="119" t="s">
        <v>168</v>
      </c>
      <c r="J862" s="119" t="s">
        <v>169</v>
      </c>
      <c r="K862" s="119" t="s">
        <v>170</v>
      </c>
      <c r="L862" s="119" t="s">
        <v>904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5"/>
        <v>13731.152</v>
      </c>
      <c r="U862" s="137">
        <f t="shared" si="169"/>
        <v>357009.95199999999</v>
      </c>
      <c r="V862" s="137">
        <v>357000</v>
      </c>
      <c r="W862" s="137">
        <f t="shared" si="170"/>
        <v>9.9519999999902211</v>
      </c>
      <c r="X862" s="137">
        <f t="shared" si="166"/>
        <v>9.5692307692213667</v>
      </c>
      <c r="Y862" s="137">
        <f t="shared" si="171"/>
        <v>0.38276923076885438</v>
      </c>
      <c r="Z862" s="137">
        <v>342607.2</v>
      </c>
      <c r="AA862" s="137">
        <f t="shared" si="167"/>
        <v>14392.799999999988</v>
      </c>
      <c r="AB862" s="146">
        <f t="shared" si="176"/>
        <v>329430</v>
      </c>
      <c r="AC862" s="147">
        <f t="shared" si="168"/>
        <v>13177.200000000012</v>
      </c>
      <c r="AD862" s="137">
        <f t="shared" si="177"/>
        <v>307687.44246572728</v>
      </c>
      <c r="AE862" s="138">
        <v>0.11269173273981201</v>
      </c>
      <c r="AF862" s="137">
        <f t="shared" si="163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906</v>
      </c>
      <c r="G863" s="119" t="s">
        <v>906</v>
      </c>
      <c r="H863" s="119" t="s">
        <v>906</v>
      </c>
      <c r="I863" s="119" t="s">
        <v>168</v>
      </c>
      <c r="J863" s="119" t="s">
        <v>600</v>
      </c>
      <c r="K863" s="119" t="s">
        <v>879</v>
      </c>
      <c r="L863" s="119" t="s">
        <v>906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5"/>
        <v>200</v>
      </c>
      <c r="U863" s="137">
        <f t="shared" si="169"/>
        <v>10200</v>
      </c>
      <c r="V863" s="137">
        <v>10200</v>
      </c>
      <c r="W863" s="137">
        <f t="shared" si="170"/>
        <v>0</v>
      </c>
      <c r="X863" s="137">
        <f t="shared" si="166"/>
        <v>0</v>
      </c>
      <c r="Y863" s="137">
        <f t="shared" si="171"/>
        <v>0</v>
      </c>
      <c r="Z863" s="137">
        <v>2506.6999999999998</v>
      </c>
      <c r="AA863" s="137">
        <f>Q863+V863-Z863</f>
        <v>7693.3</v>
      </c>
      <c r="AB863" s="146">
        <f t="shared" si="176"/>
        <v>2457.5490196078431</v>
      </c>
      <c r="AC863" s="147">
        <f t="shared" si="168"/>
        <v>49.150980392156725</v>
      </c>
      <c r="AD863" s="137">
        <v>2506.6999999999998</v>
      </c>
      <c r="AE863" s="138">
        <v>0.1</v>
      </c>
      <c r="AF863" s="137">
        <f t="shared" si="163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hidden="1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907</v>
      </c>
      <c r="G864" s="119" t="s">
        <v>907</v>
      </c>
      <c r="H864" s="119" t="s">
        <v>907</v>
      </c>
      <c r="I864" s="119" t="s">
        <v>168</v>
      </c>
      <c r="J864" s="119" t="s">
        <v>169</v>
      </c>
      <c r="K864" s="119" t="s">
        <v>170</v>
      </c>
      <c r="L864" s="119" t="s">
        <v>907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5"/>
        <v>392.32</v>
      </c>
      <c r="U864" s="137">
        <f t="shared" si="169"/>
        <v>10200.32</v>
      </c>
      <c r="V864" s="137">
        <v>10200</v>
      </c>
      <c r="W864" s="137">
        <f t="shared" si="170"/>
        <v>0.31999999999970896</v>
      </c>
      <c r="X864" s="137">
        <f t="shared" si="166"/>
        <v>0.30769230769202782</v>
      </c>
      <c r="Y864" s="137">
        <f t="shared" si="171"/>
        <v>1.230769230768114E-2</v>
      </c>
      <c r="Z864" s="137">
        <v>10196.9</v>
      </c>
      <c r="AA864" s="137">
        <f t="shared" si="167"/>
        <v>3.1000000000003638</v>
      </c>
      <c r="AB864" s="146">
        <f t="shared" si="176"/>
        <v>9804.7115384615372</v>
      </c>
      <c r="AC864" s="147">
        <f t="shared" si="168"/>
        <v>392.18846153846243</v>
      </c>
      <c r="AD864" s="137">
        <f t="shared" ref="AD864:AD866" si="178">(Z864-Q864)*0.89807640489087</f>
        <v>9157.5952930317126</v>
      </c>
      <c r="AE864" s="138">
        <v>0.11269173273981201</v>
      </c>
      <c r="AF864" s="137">
        <f t="shared" si="163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hidden="1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908</v>
      </c>
      <c r="G865" s="119" t="s">
        <v>908</v>
      </c>
      <c r="H865" s="119" t="s">
        <v>908</v>
      </c>
      <c r="I865" s="119" t="s">
        <v>168</v>
      </c>
      <c r="J865" s="119" t="s">
        <v>169</v>
      </c>
      <c r="K865" s="119" t="s">
        <v>170</v>
      </c>
      <c r="L865" s="119" t="s">
        <v>908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5"/>
        <v>6400</v>
      </c>
      <c r="U865" s="137">
        <f t="shared" si="169"/>
        <v>326400</v>
      </c>
      <c r="V865" s="137">
        <v>326400</v>
      </c>
      <c r="W865" s="137">
        <f t="shared" si="170"/>
        <v>0</v>
      </c>
      <c r="X865" s="137">
        <f t="shared" si="166"/>
        <v>0</v>
      </c>
      <c r="Y865" s="137">
        <f t="shared" si="171"/>
        <v>0</v>
      </c>
      <c r="Z865" s="137">
        <v>225031.9</v>
      </c>
      <c r="AA865" s="137">
        <f t="shared" si="167"/>
        <v>101368.1</v>
      </c>
      <c r="AB865" s="146">
        <f t="shared" si="176"/>
        <v>220619.50980392157</v>
      </c>
      <c r="AC865" s="147">
        <f t="shared" si="168"/>
        <v>4412.3901960784278</v>
      </c>
      <c r="AD865" s="137">
        <f t="shared" si="178"/>
        <v>202095.83973776177</v>
      </c>
      <c r="AE865" s="138">
        <v>0.11269173273981201</v>
      </c>
      <c r="AF865" s="137">
        <f t="shared" si="163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hidden="1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909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5"/>
        <v>200</v>
      </c>
      <c r="U866" s="137">
        <f t="shared" si="169"/>
        <v>10200</v>
      </c>
      <c r="V866" s="137">
        <v>10200</v>
      </c>
      <c r="W866" s="137">
        <f t="shared" si="170"/>
        <v>0</v>
      </c>
      <c r="X866" s="137">
        <f t="shared" si="166"/>
        <v>0</v>
      </c>
      <c r="Y866" s="137">
        <f t="shared" si="171"/>
        <v>0</v>
      </c>
      <c r="Z866" s="137">
        <v>4099.5</v>
      </c>
      <c r="AA866" s="137">
        <f t="shared" si="167"/>
        <v>6100.5</v>
      </c>
      <c r="AB866" s="146">
        <f t="shared" si="176"/>
        <v>4019.1176470588234</v>
      </c>
      <c r="AC866" s="147">
        <f t="shared" si="168"/>
        <v>80.382352941176578</v>
      </c>
      <c r="AD866" s="137">
        <f t="shared" si="178"/>
        <v>3681.6642218501215</v>
      </c>
      <c r="AE866" s="138">
        <v>0.11269173273981201</v>
      </c>
      <c r="AF866" s="137">
        <f t="shared" si="163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910</v>
      </c>
      <c r="G867" s="119" t="s">
        <v>910</v>
      </c>
      <c r="H867" s="119" t="s">
        <v>910</v>
      </c>
      <c r="I867" s="119" t="s">
        <v>168</v>
      </c>
      <c r="J867" s="119" t="s">
        <v>861</v>
      </c>
      <c r="K867" s="119" t="s">
        <v>862</v>
      </c>
      <c r="L867" s="119" t="s">
        <v>910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5"/>
        <v>600</v>
      </c>
      <c r="U867" s="137">
        <f t="shared" si="169"/>
        <v>30600</v>
      </c>
      <c r="V867" s="137">
        <v>30600</v>
      </c>
      <c r="W867" s="137">
        <f t="shared" si="170"/>
        <v>0</v>
      </c>
      <c r="X867" s="137">
        <f t="shared" si="166"/>
        <v>0</v>
      </c>
      <c r="Y867" s="137">
        <f t="shared" si="171"/>
        <v>0</v>
      </c>
      <c r="Z867" s="137">
        <v>28082.7</v>
      </c>
      <c r="AA867" s="137">
        <f t="shared" si="167"/>
        <v>2517.2999999999993</v>
      </c>
      <c r="AB867" s="146">
        <f t="shared" si="176"/>
        <v>27532.058823529413</v>
      </c>
      <c r="AC867" s="147">
        <f t="shared" si="168"/>
        <v>550.64117647058811</v>
      </c>
      <c r="AD867" s="137">
        <f>Z867*0.972201473425119-Q867</f>
        <v>27302.042317755589</v>
      </c>
      <c r="AE867" s="138">
        <v>0.1</v>
      </c>
      <c r="AF867" s="137">
        <f t="shared" si="163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5"/>
        <v>400</v>
      </c>
      <c r="U868" s="137">
        <f t="shared" si="169"/>
        <v>20400</v>
      </c>
      <c r="V868" s="137">
        <v>20400</v>
      </c>
      <c r="W868" s="137">
        <f t="shared" si="170"/>
        <v>0</v>
      </c>
      <c r="X868" s="137">
        <f t="shared" si="166"/>
        <v>0</v>
      </c>
      <c r="Y868" s="137">
        <f t="shared" si="171"/>
        <v>0</v>
      </c>
      <c r="Z868" s="137">
        <v>20397.5</v>
      </c>
      <c r="AA868" s="137">
        <f t="shared" si="167"/>
        <v>2.5</v>
      </c>
      <c r="AB868" s="146">
        <f t="shared" si="176"/>
        <v>19997.549019607843</v>
      </c>
      <c r="AC868" s="147">
        <f t="shared" si="168"/>
        <v>399.95098039215736</v>
      </c>
      <c r="AD868" s="137">
        <f t="shared" ref="AD868:AD880" si="179">(Z868-Q868)*0.89807640489087</f>
        <v>18318.513468761521</v>
      </c>
      <c r="AE868" s="138">
        <v>0.11269173273981201</v>
      </c>
      <c r="AF868" s="137">
        <f t="shared" si="163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hidden="1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911</v>
      </c>
      <c r="G869" s="119" t="s">
        <v>912</v>
      </c>
      <c r="H869" s="119" t="s">
        <v>912</v>
      </c>
      <c r="I869" s="119" t="s">
        <v>168</v>
      </c>
      <c r="J869" s="119" t="s">
        <v>169</v>
      </c>
      <c r="K869" s="119" t="s">
        <v>170</v>
      </c>
      <c r="L869" s="119" t="s">
        <v>912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5"/>
        <v>28461.538399999998</v>
      </c>
      <c r="U869" s="137">
        <f t="shared" si="169"/>
        <v>739999.99839999992</v>
      </c>
      <c r="V869" s="137">
        <v>740000</v>
      </c>
      <c r="W869" s="137">
        <f t="shared" si="170"/>
        <v>-1.6000000759959221E-3</v>
      </c>
      <c r="X869" s="137">
        <f t="shared" si="166"/>
        <v>-1.5384616115345403E-3</v>
      </c>
      <c r="Y869" s="137">
        <f t="shared" si="171"/>
        <v>-6.1538464461381769E-5</v>
      </c>
      <c r="Z869" s="137">
        <v>429212.7</v>
      </c>
      <c r="AA869" s="137">
        <f t="shared" si="167"/>
        <v>310787.3</v>
      </c>
      <c r="AB869" s="146">
        <f t="shared" si="176"/>
        <v>412704.51923076925</v>
      </c>
      <c r="AC869" s="147">
        <f t="shared" si="168"/>
        <v>16508.180769230763</v>
      </c>
      <c r="AD869" s="137">
        <f t="shared" si="179"/>
        <v>385465.79854950355</v>
      </c>
      <c r="AE869" s="138">
        <v>0.11269173273981201</v>
      </c>
      <c r="AF869" s="137">
        <f t="shared" si="163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hidden="1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566</v>
      </c>
      <c r="G870" s="119" t="s">
        <v>566</v>
      </c>
      <c r="H870" s="119" t="s">
        <v>566</v>
      </c>
      <c r="I870" s="119" t="s">
        <v>168</v>
      </c>
      <c r="J870" s="119" t="s">
        <v>169</v>
      </c>
      <c r="K870" s="119" t="s">
        <v>170</v>
      </c>
      <c r="L870" s="119" t="s">
        <v>566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5"/>
        <v>239338.7328</v>
      </c>
      <c r="U870" s="137">
        <f t="shared" si="169"/>
        <v>4228317.6128000002</v>
      </c>
      <c r="V870" s="137">
        <v>3988978.88</v>
      </c>
      <c r="W870" s="137">
        <f t="shared" si="170"/>
        <v>239338.73280000035</v>
      </c>
      <c r="X870" s="137">
        <f t="shared" si="166"/>
        <v>225791.25735849087</v>
      </c>
      <c r="Y870" s="137">
        <f t="shared" si="171"/>
        <v>13547.475441509479</v>
      </c>
      <c r="Z870" s="137">
        <v>3839169.7920000004</v>
      </c>
      <c r="AA870" s="137">
        <f t="shared" si="167"/>
        <v>276208.78799999971</v>
      </c>
      <c r="AB870" s="146">
        <v>3522970.68</v>
      </c>
      <c r="AC870" s="147">
        <f t="shared" si="168"/>
        <v>316199.1120000002</v>
      </c>
      <c r="AD870" s="137">
        <f t="shared" si="179"/>
        <v>3334351.2164097051</v>
      </c>
      <c r="AE870" s="138">
        <v>0.11269173273981201</v>
      </c>
      <c r="AF870" s="137">
        <f t="shared" si="163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566</v>
      </c>
      <c r="G871" s="119" t="s">
        <v>566</v>
      </c>
      <c r="H871" s="119" t="s">
        <v>566</v>
      </c>
      <c r="I871" s="119" t="s">
        <v>168</v>
      </c>
      <c r="J871" s="119" t="s">
        <v>169</v>
      </c>
      <c r="K871" s="119" t="s">
        <v>170</v>
      </c>
      <c r="L871" s="119" t="s">
        <v>566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5"/>
        <v>28800</v>
      </c>
      <c r="U871" s="137">
        <f t="shared" si="169"/>
        <v>388800</v>
      </c>
      <c r="V871" s="137">
        <v>360000</v>
      </c>
      <c r="W871" s="137">
        <f t="shared" si="170"/>
        <v>28800</v>
      </c>
      <c r="X871" s="137">
        <f t="shared" si="166"/>
        <v>26666.666666666664</v>
      </c>
      <c r="Y871" s="137">
        <f t="shared" si="171"/>
        <v>2133.3333333333358</v>
      </c>
      <c r="Z871" s="137">
        <v>0</v>
      </c>
      <c r="AA871" s="137">
        <f t="shared" si="167"/>
        <v>360000</v>
      </c>
      <c r="AB871" s="146">
        <f>IF(O871="返货",Z871/(1+N871),IF(O871="返现",Z871,IF(O871="折扣",Z871*N871,IF(O871="无",Z871))))</f>
        <v>0</v>
      </c>
      <c r="AC871" s="147">
        <f t="shared" si="168"/>
        <v>0</v>
      </c>
      <c r="AD871" s="137">
        <f t="shared" si="179"/>
        <v>0</v>
      </c>
      <c r="AE871" s="138">
        <v>0.11269173273981201</v>
      </c>
      <c r="AF871" s="137">
        <f t="shared" si="163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5"/>
        <v>10000</v>
      </c>
      <c r="U872" s="137">
        <f t="shared" si="169"/>
        <v>260000</v>
      </c>
      <c r="V872" s="137">
        <v>190000</v>
      </c>
      <c r="W872" s="137">
        <f t="shared" si="170"/>
        <v>70000</v>
      </c>
      <c r="X872" s="137">
        <f t="shared" si="166"/>
        <v>67307.692307692312</v>
      </c>
      <c r="Y872" s="137">
        <f t="shared" si="171"/>
        <v>2692.3076923076878</v>
      </c>
      <c r="Z872" s="137">
        <v>292203.5</v>
      </c>
      <c r="AA872" s="137">
        <f t="shared" si="167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8"/>
        <v>109524.55769230769</v>
      </c>
      <c r="AD872" s="137">
        <f t="shared" si="179"/>
        <v>170622.03366723732</v>
      </c>
      <c r="AE872" s="138">
        <v>0.11269173273981201</v>
      </c>
      <c r="AF872" s="137">
        <f t="shared" si="163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638</v>
      </c>
      <c r="G873" s="119" t="s">
        <v>638</v>
      </c>
      <c r="H873" s="119" t="s">
        <v>638</v>
      </c>
      <c r="I873" s="119" t="s">
        <v>168</v>
      </c>
      <c r="J873" s="119" t="s">
        <v>169</v>
      </c>
      <c r="K873" s="119" t="s">
        <v>170</v>
      </c>
      <c r="L873" s="119" t="s">
        <v>638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5"/>
        <v>262200</v>
      </c>
      <c r="U873" s="137">
        <f t="shared" si="169"/>
        <v>4632200</v>
      </c>
      <c r="V873" s="137">
        <v>4632599</v>
      </c>
      <c r="W873" s="137">
        <f t="shared" si="170"/>
        <v>-399</v>
      </c>
      <c r="X873" s="137">
        <f t="shared" si="166"/>
        <v>-376.41509433962261</v>
      </c>
      <c r="Y873" s="137">
        <f t="shared" si="171"/>
        <v>-22.584905660377387</v>
      </c>
      <c r="Z873" s="137">
        <v>4522385.3</v>
      </c>
      <c r="AA873" s="137">
        <f t="shared" si="167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8"/>
        <v>327281.52641509473</v>
      </c>
      <c r="AD873" s="137">
        <f t="shared" si="179"/>
        <v>3993575.1380327698</v>
      </c>
      <c r="AE873" s="138">
        <v>0.11269173273981201</v>
      </c>
      <c r="AF873" s="137">
        <f t="shared" si="163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913</v>
      </c>
      <c r="G874" s="119" t="s">
        <v>913</v>
      </c>
      <c r="H874" s="119" t="s">
        <v>913</v>
      </c>
      <c r="I874" s="119" t="s">
        <v>168</v>
      </c>
      <c r="J874" s="119" t="s">
        <v>169</v>
      </c>
      <c r="K874" s="119" t="s">
        <v>170</v>
      </c>
      <c r="L874" s="119" t="s">
        <v>566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5"/>
        <v>107415.10799999999</v>
      </c>
      <c r="U874" s="137">
        <f t="shared" si="169"/>
        <v>1897666.9080000001</v>
      </c>
      <c r="V874" s="137">
        <v>1897666.9080000001</v>
      </c>
      <c r="W874" s="137">
        <f t="shared" si="170"/>
        <v>0</v>
      </c>
      <c r="X874" s="137">
        <f t="shared" si="166"/>
        <v>0</v>
      </c>
      <c r="Y874" s="137">
        <f t="shared" si="171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8"/>
        <v>107415.10800000001</v>
      </c>
      <c r="AD874" s="137">
        <f t="shared" si="179"/>
        <v>1704249.8744170135</v>
      </c>
      <c r="AE874" s="138">
        <v>0.11269173273981201</v>
      </c>
      <c r="AF874" s="137">
        <f t="shared" si="163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hidden="1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570</v>
      </c>
      <c r="G875" s="119" t="s">
        <v>570</v>
      </c>
      <c r="H875" s="119" t="s">
        <v>570</v>
      </c>
      <c r="I875" s="119" t="s">
        <v>168</v>
      </c>
      <c r="J875" s="119" t="s">
        <v>169</v>
      </c>
      <c r="K875" s="119" t="s">
        <v>170</v>
      </c>
      <c r="L875" s="119" t="s">
        <v>570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5"/>
        <v>16999.28</v>
      </c>
      <c r="U875" s="137">
        <f t="shared" si="169"/>
        <v>441981.28</v>
      </c>
      <c r="V875" s="137">
        <v>538600</v>
      </c>
      <c r="W875" s="137">
        <f t="shared" si="170"/>
        <v>-96618.719999999972</v>
      </c>
      <c r="X875" s="137">
        <f t="shared" si="166"/>
        <v>-92902.615384615361</v>
      </c>
      <c r="Y875" s="137">
        <f t="shared" si="171"/>
        <v>-3716.104615384611</v>
      </c>
      <c r="Z875" s="137">
        <v>0</v>
      </c>
      <c r="AA875" s="137">
        <f t="shared" si="167"/>
        <v>538600</v>
      </c>
      <c r="AB875" s="146">
        <f>IF(O875="返货",Z875/(1+N875),IF(O875="返现",Z875,IF(O875="折扣",Z875*N875,IF(O875="无",Z875))))</f>
        <v>0</v>
      </c>
      <c r="AC875" s="147">
        <f t="shared" si="168"/>
        <v>0</v>
      </c>
      <c r="AD875" s="137">
        <f t="shared" si="179"/>
        <v>0</v>
      </c>
      <c r="AE875" s="138">
        <v>0.11269173273981201</v>
      </c>
      <c r="AF875" s="137">
        <f t="shared" si="163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564</v>
      </c>
      <c r="G876" s="119" t="s">
        <v>564</v>
      </c>
      <c r="H876" s="119" t="s">
        <v>564</v>
      </c>
      <c r="I876" s="119" t="s">
        <v>168</v>
      </c>
      <c r="J876" s="119" t="s">
        <v>169</v>
      </c>
      <c r="K876" s="119" t="s">
        <v>170</v>
      </c>
      <c r="L876" s="119" t="s">
        <v>566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5"/>
        <v>96000</v>
      </c>
      <c r="U876" s="137">
        <f t="shared" si="169"/>
        <v>1696000</v>
      </c>
      <c r="V876" s="137">
        <v>1100000</v>
      </c>
      <c r="W876" s="137">
        <f t="shared" si="170"/>
        <v>596000</v>
      </c>
      <c r="X876" s="137">
        <f t="shared" si="166"/>
        <v>562264.15094339615</v>
      </c>
      <c r="Y876" s="137">
        <f t="shared" si="171"/>
        <v>33735.849056603853</v>
      </c>
      <c r="Z876" s="137">
        <v>1696000</v>
      </c>
      <c r="AA876" s="137">
        <f t="shared" si="167"/>
        <v>-596000</v>
      </c>
      <c r="AB876" s="146">
        <f>S876</f>
        <v>1600000</v>
      </c>
      <c r="AC876" s="147">
        <f t="shared" si="168"/>
        <v>96000</v>
      </c>
      <c r="AD876" s="137">
        <f t="shared" si="179"/>
        <v>1523137.5826949156</v>
      </c>
      <c r="AE876" s="138">
        <v>0.11269173273981201</v>
      </c>
      <c r="AF876" s="137">
        <f t="shared" si="163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696</v>
      </c>
      <c r="G877" s="119" t="s">
        <v>696</v>
      </c>
      <c r="H877" s="119" t="s">
        <v>696</v>
      </c>
      <c r="I877" s="119" t="s">
        <v>168</v>
      </c>
      <c r="J877" s="119" t="s">
        <v>169</v>
      </c>
      <c r="K877" s="119" t="s">
        <v>170</v>
      </c>
      <c r="L877" s="119" t="s">
        <v>697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5"/>
        <v>211200</v>
      </c>
      <c r="U877" s="137">
        <f t="shared" si="169"/>
        <v>10771200</v>
      </c>
      <c r="V877" s="137">
        <v>10598457.699999999</v>
      </c>
      <c r="W877" s="137">
        <f t="shared" si="170"/>
        <v>172742.30000000075</v>
      </c>
      <c r="X877" s="137">
        <f t="shared" si="166"/>
        <v>169355.19607843211</v>
      </c>
      <c r="Y877" s="137">
        <f t="shared" si="171"/>
        <v>3387.1039215686324</v>
      </c>
      <c r="Z877" s="137">
        <v>10902640.9</v>
      </c>
      <c r="AA877" s="137">
        <f t="shared" si="167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8"/>
        <v>511998.64509803988</v>
      </c>
      <c r="AD877" s="137">
        <f t="shared" si="179"/>
        <v>9518222.4536053054</v>
      </c>
      <c r="AE877" s="138">
        <v>0.11269173273981201</v>
      </c>
      <c r="AF877" s="137">
        <f t="shared" si="163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hidden="1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564</v>
      </c>
      <c r="G878" s="119" t="s">
        <v>564</v>
      </c>
      <c r="H878" s="119" t="s">
        <v>564</v>
      </c>
      <c r="I878" s="119" t="s">
        <v>168</v>
      </c>
      <c r="J878" s="119" t="s">
        <v>169</v>
      </c>
      <c r="K878" s="119" t="s">
        <v>170</v>
      </c>
      <c r="L878" s="119" t="s">
        <v>566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5"/>
        <v>27200</v>
      </c>
      <c r="U878" s="137">
        <f t="shared" si="169"/>
        <v>367200</v>
      </c>
      <c r="V878" s="137">
        <v>340000</v>
      </c>
      <c r="W878" s="137">
        <f t="shared" si="170"/>
        <v>27200</v>
      </c>
      <c r="X878" s="137">
        <f t="shared" si="166"/>
        <v>25185.185185185182</v>
      </c>
      <c r="Y878" s="137">
        <f t="shared" si="171"/>
        <v>2014.8148148148175</v>
      </c>
      <c r="Z878" s="137">
        <v>367200</v>
      </c>
      <c r="AA878" s="137">
        <f t="shared" si="167"/>
        <v>-27200</v>
      </c>
      <c r="AB878" s="146">
        <f>S878</f>
        <v>340000</v>
      </c>
      <c r="AC878" s="147">
        <f t="shared" si="168"/>
        <v>27200</v>
      </c>
      <c r="AD878" s="137">
        <f t="shared" si="179"/>
        <v>329773.65587592748</v>
      </c>
      <c r="AE878" s="138">
        <v>0.11269173273981201</v>
      </c>
      <c r="AF878" s="137">
        <f t="shared" si="163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845</v>
      </c>
      <c r="G879" s="119" t="s">
        <v>845</v>
      </c>
      <c r="H879" s="119" t="s">
        <v>845</v>
      </c>
      <c r="I879" s="119" t="s">
        <v>168</v>
      </c>
      <c r="J879" s="119" t="s">
        <v>169</v>
      </c>
      <c r="K879" s="119" t="s">
        <v>170</v>
      </c>
      <c r="L879" s="119" t="s">
        <v>845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5"/>
        <v>17592.2556</v>
      </c>
      <c r="U879" s="137">
        <f t="shared" si="169"/>
        <v>457398.64559999999</v>
      </c>
      <c r="V879" s="137">
        <v>450000</v>
      </c>
      <c r="W879" s="137">
        <f t="shared" si="170"/>
        <v>7398.6455999999889</v>
      </c>
      <c r="X879" s="137">
        <f t="shared" si="166"/>
        <v>7114.082307692297</v>
      </c>
      <c r="Y879" s="137">
        <f t="shared" si="171"/>
        <v>284.56329230769188</v>
      </c>
      <c r="Z879" s="137">
        <v>1268520.5</v>
      </c>
      <c r="AA879" s="137">
        <f t="shared" si="167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8"/>
        <v>100320.59615384624</v>
      </c>
      <c r="AD879" s="137">
        <f t="shared" si="179"/>
        <v>1091098.0806336144</v>
      </c>
      <c r="AE879" s="138">
        <v>0.11269173273981201</v>
      </c>
      <c r="AF879" s="137">
        <f t="shared" ref="AF879:AF942" si="180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566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5"/>
        <v>18000</v>
      </c>
      <c r="U880" s="137">
        <f t="shared" si="169"/>
        <v>318000</v>
      </c>
      <c r="V880" s="137">
        <v>300000</v>
      </c>
      <c r="W880" s="137">
        <f t="shared" si="170"/>
        <v>18000</v>
      </c>
      <c r="X880" s="137">
        <f t="shared" si="166"/>
        <v>16981.132075471698</v>
      </c>
      <c r="Y880" s="137">
        <f t="shared" si="171"/>
        <v>1018.867924528302</v>
      </c>
      <c r="Z880" s="137">
        <v>318000</v>
      </c>
      <c r="AA880" s="137">
        <f t="shared" si="167"/>
        <v>-18000</v>
      </c>
      <c r="AB880" s="146">
        <v>300000</v>
      </c>
      <c r="AC880" s="147">
        <f t="shared" si="168"/>
        <v>18000</v>
      </c>
      <c r="AD880" s="137">
        <f t="shared" si="179"/>
        <v>285588.29675529664</v>
      </c>
      <c r="AE880" s="138">
        <v>0.11269173273981201</v>
      </c>
      <c r="AF880" s="137">
        <f t="shared" si="180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914</v>
      </c>
      <c r="H881" s="119" t="s">
        <v>914</v>
      </c>
      <c r="I881" s="119" t="s">
        <v>168</v>
      </c>
      <c r="J881" s="119" t="s">
        <v>861</v>
      </c>
      <c r="K881" s="119" t="s">
        <v>862</v>
      </c>
      <c r="L881" s="119" t="s">
        <v>566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5"/>
        <v>600</v>
      </c>
      <c r="U881" s="137">
        <f t="shared" si="169"/>
        <v>20600</v>
      </c>
      <c r="V881" s="137">
        <v>20000</v>
      </c>
      <c r="W881" s="137">
        <f t="shared" si="170"/>
        <v>600</v>
      </c>
      <c r="X881" s="137">
        <f t="shared" si="166"/>
        <v>582.52427184466023</v>
      </c>
      <c r="Y881" s="137">
        <f t="shared" si="171"/>
        <v>17.475728155339766</v>
      </c>
      <c r="Z881" s="137">
        <v>22203.3</v>
      </c>
      <c r="AA881" s="137">
        <f t="shared" si="167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8"/>
        <v>2785.82427184466</v>
      </c>
      <c r="AD881" s="137">
        <f>Z881*0.972201473425119-Q881</f>
        <v>19382.780974899943</v>
      </c>
      <c r="AE881" s="138">
        <v>0.1</v>
      </c>
      <c r="AF881" s="137">
        <f t="shared" si="180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644</v>
      </c>
      <c r="F882" s="119" t="s">
        <v>535</v>
      </c>
      <c r="G882" s="119" t="s">
        <v>535</v>
      </c>
      <c r="H882" s="119" t="s">
        <v>535</v>
      </c>
      <c r="I882" s="119" t="s">
        <v>168</v>
      </c>
      <c r="J882" s="119" t="s">
        <v>169</v>
      </c>
      <c r="K882" s="119" t="s">
        <v>170</v>
      </c>
      <c r="L882" s="119" t="s">
        <v>536</v>
      </c>
      <c r="M882" s="119" t="s">
        <v>45</v>
      </c>
      <c r="N882" s="136">
        <v>0.02</v>
      </c>
      <c r="O882" s="135" t="s">
        <v>50</v>
      </c>
      <c r="P882" s="135" t="s">
        <v>437</v>
      </c>
      <c r="Q882" s="137">
        <v>0</v>
      </c>
      <c r="R882" s="137">
        <v>0</v>
      </c>
      <c r="S882" s="137">
        <v>133112918.06999999</v>
      </c>
      <c r="T882" s="137">
        <f t="shared" si="165"/>
        <v>2662258.3613999998</v>
      </c>
      <c r="U882" s="137">
        <f t="shared" si="169"/>
        <v>135775176.4314</v>
      </c>
      <c r="V882" s="137">
        <v>153444000</v>
      </c>
      <c r="W882" s="137">
        <f t="shared" si="170"/>
        <v>-17668823.568599999</v>
      </c>
      <c r="X882" s="137">
        <f t="shared" si="166"/>
        <v>-17322376.047647059</v>
      </c>
      <c r="Y882" s="137">
        <f t="shared" si="171"/>
        <v>-346447.52095293999</v>
      </c>
      <c r="Z882" s="137">
        <v>136399177</v>
      </c>
      <c r="AA882" s="137">
        <f t="shared" si="167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8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80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hidden="1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644</v>
      </c>
      <c r="F883" s="119" t="s">
        <v>535</v>
      </c>
      <c r="G883" s="119" t="s">
        <v>535</v>
      </c>
      <c r="H883" s="119" t="s">
        <v>535</v>
      </c>
      <c r="I883" s="119" t="s">
        <v>168</v>
      </c>
      <c r="J883" s="119" t="s">
        <v>169</v>
      </c>
      <c r="K883" s="119" t="s">
        <v>170</v>
      </c>
      <c r="L883" s="119" t="s">
        <v>536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5"/>
        <v>9658.8000000000011</v>
      </c>
      <c r="U883" s="137">
        <f t="shared" si="169"/>
        <v>492598.8</v>
      </c>
      <c r="V883" s="137">
        <v>685355</v>
      </c>
      <c r="W883" s="137">
        <f t="shared" si="170"/>
        <v>-192756.2</v>
      </c>
      <c r="X883" s="137">
        <f t="shared" si="166"/>
        <v>-188976.66666666669</v>
      </c>
      <c r="Y883" s="137">
        <f t="shared" si="171"/>
        <v>-3779.5333333333256</v>
      </c>
      <c r="Z883" s="137">
        <v>685355</v>
      </c>
      <c r="AA883" s="137">
        <f t="shared" si="167"/>
        <v>0</v>
      </c>
      <c r="AB883" s="146">
        <f>IF(O883="返货",Z883/(1+N883),IF(O883="返现",Z883,IF(O883="折扣",Z883*N883,IF(O883="无",Z883))))</f>
        <v>671916.66666666663</v>
      </c>
      <c r="AC883" s="147">
        <f t="shared" si="168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80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hidden="1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644</v>
      </c>
      <c r="F884" s="119" t="s">
        <v>535</v>
      </c>
      <c r="G884" s="119" t="s">
        <v>535</v>
      </c>
      <c r="H884" s="119" t="s">
        <v>535</v>
      </c>
      <c r="I884" s="119" t="s">
        <v>168</v>
      </c>
      <c r="J884" s="119" t="s">
        <v>169</v>
      </c>
      <c r="K884" s="119" t="s">
        <v>170</v>
      </c>
      <c r="L884" s="119" t="s">
        <v>536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5"/>
        <v>16000</v>
      </c>
      <c r="U884" s="137">
        <f t="shared" si="169"/>
        <v>416000</v>
      </c>
      <c r="V884" s="137">
        <v>516000</v>
      </c>
      <c r="W884" s="137">
        <f t="shared" si="170"/>
        <v>-100000</v>
      </c>
      <c r="X884" s="137">
        <f t="shared" si="166"/>
        <v>-96153.846153846156</v>
      </c>
      <c r="Y884" s="137">
        <f t="shared" si="171"/>
        <v>-3846.1538461538439</v>
      </c>
      <c r="Z884" s="137">
        <v>409928.2</v>
      </c>
      <c r="AA884" s="137">
        <f t="shared" si="167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8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80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hidden="1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646</v>
      </c>
      <c r="G885" s="119" t="s">
        <v>646</v>
      </c>
      <c r="H885" s="119" t="s">
        <v>646</v>
      </c>
      <c r="I885" s="119" t="s">
        <v>168</v>
      </c>
      <c r="J885" s="119" t="s">
        <v>169</v>
      </c>
      <c r="K885" s="119" t="s">
        <v>170</v>
      </c>
      <c r="L885" s="119" t="s">
        <v>646</v>
      </c>
      <c r="M885" s="119" t="s">
        <v>45</v>
      </c>
      <c r="N885" s="136">
        <v>0.04</v>
      </c>
      <c r="O885" s="135" t="s">
        <v>50</v>
      </c>
      <c r="P885" s="135" t="s">
        <v>1674</v>
      </c>
      <c r="Q885" s="137">
        <v>0</v>
      </c>
      <c r="R885" s="137">
        <v>0</v>
      </c>
      <c r="S885" s="137">
        <v>440000</v>
      </c>
      <c r="T885" s="137">
        <f t="shared" si="165"/>
        <v>17600</v>
      </c>
      <c r="U885" s="137">
        <f t="shared" si="169"/>
        <v>457600</v>
      </c>
      <c r="V885" s="137">
        <v>457599.93</v>
      </c>
      <c r="W885" s="137">
        <f t="shared" si="170"/>
        <v>7.0000000006984919E-2</v>
      </c>
      <c r="X885" s="137">
        <f t="shared" si="166"/>
        <v>6.7307692314408571E-2</v>
      </c>
      <c r="Y885" s="137">
        <f t="shared" si="171"/>
        <v>2.6923076925763484E-3</v>
      </c>
      <c r="Z885" s="137">
        <v>441068.3</v>
      </c>
      <c r="AA885" s="137">
        <f t="shared" si="167"/>
        <v>16531.630000000005</v>
      </c>
      <c r="AB885" s="146">
        <f>IF(O885="返货",Z885/(1+N885),IF(O885="返现",Z885,IF(O885="折扣",Z885*N885,IF(O885="无",Z885))))+AA885/1.04+0.07</f>
        <v>440000.00269230764</v>
      </c>
      <c r="AC885" s="147">
        <f t="shared" si="168"/>
        <v>1068.2973076923518</v>
      </c>
      <c r="AD885" s="137">
        <f t="shared" ref="AD885:AD888" si="181">(Z885-Q885)*0.89807640489087</f>
        <v>396113.0331753277</v>
      </c>
      <c r="AE885" s="138">
        <v>0.11269173273981201</v>
      </c>
      <c r="AF885" s="137">
        <f t="shared" si="180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hidden="1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915</v>
      </c>
      <c r="G886" s="119" t="s">
        <v>915</v>
      </c>
      <c r="H886" s="119" t="s">
        <v>915</v>
      </c>
      <c r="I886" s="119" t="s">
        <v>168</v>
      </c>
      <c r="J886" s="119" t="s">
        <v>169</v>
      </c>
      <c r="K886" s="119" t="s">
        <v>170</v>
      </c>
      <c r="L886" s="119" t="s">
        <v>873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5"/>
        <v>27424</v>
      </c>
      <c r="U886" s="137">
        <f t="shared" si="169"/>
        <v>713024</v>
      </c>
      <c r="V886" s="137">
        <v>685600</v>
      </c>
      <c r="W886" s="137">
        <f t="shared" si="170"/>
        <v>27424</v>
      </c>
      <c r="X886" s="137">
        <f t="shared" si="166"/>
        <v>26369.23076923077</v>
      </c>
      <c r="Y886" s="137">
        <f t="shared" si="171"/>
        <v>1054.7692307692305</v>
      </c>
      <c r="Z886" s="137">
        <v>0</v>
      </c>
      <c r="AA886" s="137">
        <f t="shared" si="167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8"/>
        <v>0.28846153846153844</v>
      </c>
      <c r="AD886" s="137">
        <f t="shared" si="181"/>
        <v>-0.26942292146726099</v>
      </c>
      <c r="AE886" s="138">
        <v>0.11269173273981201</v>
      </c>
      <c r="AF886" s="137">
        <f t="shared" si="180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hidden="1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656</v>
      </c>
      <c r="G887" s="119" t="s">
        <v>656</v>
      </c>
      <c r="H887" s="119" t="s">
        <v>656</v>
      </c>
      <c r="I887" s="119" t="s">
        <v>168</v>
      </c>
      <c r="J887" s="119" t="s">
        <v>169</v>
      </c>
      <c r="K887" s="119" t="s">
        <v>170</v>
      </c>
      <c r="L887" s="119" t="s">
        <v>656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5"/>
        <v>2000</v>
      </c>
      <c r="U887" s="137">
        <f t="shared" si="169"/>
        <v>52000</v>
      </c>
      <c r="V887" s="137">
        <v>50000</v>
      </c>
      <c r="W887" s="137">
        <f t="shared" si="170"/>
        <v>2000</v>
      </c>
      <c r="X887" s="137">
        <f t="shared" si="166"/>
        <v>1923.0769230769231</v>
      </c>
      <c r="Y887" s="137">
        <f t="shared" si="171"/>
        <v>76.923076923076906</v>
      </c>
      <c r="Z887" s="137">
        <v>0</v>
      </c>
      <c r="AA887" s="137">
        <f t="shared" si="167"/>
        <v>50000</v>
      </c>
      <c r="AB887" s="146">
        <f>IF(O887="返货",Z887/(1+N887),IF(O887="返现",Z887,IF(O887="折扣",Z887*N887,IF(O887="无",Z887))))</f>
        <v>0</v>
      </c>
      <c r="AC887" s="147">
        <f t="shared" si="168"/>
        <v>0</v>
      </c>
      <c r="AD887" s="137">
        <f t="shared" si="181"/>
        <v>0</v>
      </c>
      <c r="AE887" s="138">
        <v>0.11269173273981201</v>
      </c>
      <c r="AF887" s="137">
        <f t="shared" si="180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hidden="1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437</v>
      </c>
      <c r="Q888" s="137">
        <v>0</v>
      </c>
      <c r="R888" s="137">
        <v>0</v>
      </c>
      <c r="S888" s="137">
        <v>300000</v>
      </c>
      <c r="T888" s="137">
        <f t="shared" si="165"/>
        <v>18000</v>
      </c>
      <c r="U888" s="137">
        <f t="shared" si="169"/>
        <v>318000</v>
      </c>
      <c r="V888" s="137">
        <v>312000</v>
      </c>
      <c r="W888" s="137">
        <f t="shared" si="170"/>
        <v>6000</v>
      </c>
      <c r="X888" s="137">
        <f t="shared" si="166"/>
        <v>5660.3773584905657</v>
      </c>
      <c r="Y888" s="137">
        <f t="shared" si="171"/>
        <v>339.62264150943429</v>
      </c>
      <c r="Z888" s="137">
        <f>310000.1-Z1170</f>
        <v>206000.09999999998</v>
      </c>
      <c r="AA888" s="137">
        <f t="shared" si="167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8"/>
        <v>11660.383018867928</v>
      </c>
      <c r="AD888" s="137">
        <f t="shared" si="181"/>
        <v>185003.8292151597</v>
      </c>
      <c r="AE888" s="138">
        <v>0.11269173273981201</v>
      </c>
      <c r="AF888" s="137">
        <f t="shared" si="180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hidden="1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5"/>
        <v>0</v>
      </c>
      <c r="U889" s="137">
        <f t="shared" si="169"/>
        <v>900000</v>
      </c>
      <c r="V889" s="137">
        <v>1048000</v>
      </c>
      <c r="W889" s="137">
        <f t="shared" si="170"/>
        <v>-148000</v>
      </c>
      <c r="X889" s="137">
        <f t="shared" si="166"/>
        <v>-148000</v>
      </c>
      <c r="Y889" s="137">
        <f t="shared" si="171"/>
        <v>0</v>
      </c>
      <c r="Z889" s="137">
        <v>1082259.2</v>
      </c>
      <c r="AA889" s="137">
        <f t="shared" si="167"/>
        <v>-34259.199999999953</v>
      </c>
      <c r="AB889" s="146">
        <f>IF(O889="返货",Z889/(1+N889),IF(O889="返现",Z889,IF(O889="折扣",Z889*N889,IF(O889="无",Z889))))+14238.5</f>
        <v>1096497.7</v>
      </c>
      <c r="AC889" s="147">
        <f t="shared" si="168"/>
        <v>-14238.5</v>
      </c>
      <c r="AD889" s="137">
        <v>907222.76932618103</v>
      </c>
      <c r="AE889" s="138">
        <v>0.17647058823529399</v>
      </c>
      <c r="AF889" s="137">
        <f t="shared" si="180"/>
        <v>160098.1357634436</v>
      </c>
      <c r="AG889" s="137">
        <f>AB889-Z889+AF889</f>
        <v>174336.6357634436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hidden="1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600</v>
      </c>
      <c r="K890" s="119" t="s">
        <v>879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5"/>
        <v>0</v>
      </c>
      <c r="U890" s="137">
        <f t="shared" si="169"/>
        <v>0</v>
      </c>
      <c r="V890" s="137">
        <v>0</v>
      </c>
      <c r="W890" s="137">
        <f t="shared" si="170"/>
        <v>0</v>
      </c>
      <c r="X890" s="137">
        <f t="shared" si="166"/>
        <v>0</v>
      </c>
      <c r="Y890" s="137">
        <f t="shared" si="171"/>
        <v>0</v>
      </c>
      <c r="Z890" s="137">
        <v>0</v>
      </c>
      <c r="AA890" s="137">
        <f t="shared" si="167"/>
        <v>0</v>
      </c>
      <c r="AB890" s="146">
        <f>IF(O890="返货",Z890/(1+N890),IF(O890="返现",Z890,IF(O890="折扣",Z890*N890,IF(O890="无",Z890))))</f>
        <v>0</v>
      </c>
      <c r="AC890" s="147">
        <f t="shared" si="168"/>
        <v>0</v>
      </c>
      <c r="AD890" s="137">
        <v>0</v>
      </c>
      <c r="AE890" s="138">
        <v>0.1</v>
      </c>
      <c r="AF890" s="137">
        <f t="shared" si="180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701</v>
      </c>
      <c r="G891" s="119" t="s">
        <v>701</v>
      </c>
      <c r="H891" s="119" t="s">
        <v>701</v>
      </c>
      <c r="I891" s="119" t="s">
        <v>168</v>
      </c>
      <c r="J891" s="119" t="s">
        <v>169</v>
      </c>
      <c r="K891" s="119" t="s">
        <v>170</v>
      </c>
      <c r="L891" s="119" t="s">
        <v>702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5"/>
        <v>0</v>
      </c>
      <c r="U891" s="137">
        <f t="shared" si="169"/>
        <v>2011203.1</v>
      </c>
      <c r="V891" s="137">
        <v>2017631.4</v>
      </c>
      <c r="W891" s="137">
        <f t="shared" si="170"/>
        <v>-6428.2999999998137</v>
      </c>
      <c r="X891" s="137">
        <f t="shared" si="166"/>
        <v>-6428.2999999998137</v>
      </c>
      <c r="Y891" s="137">
        <f t="shared" si="171"/>
        <v>0</v>
      </c>
      <c r="Z891" s="137">
        <v>2045971.6</v>
      </c>
      <c r="AA891" s="137">
        <f t="shared" si="167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8"/>
        <v>0</v>
      </c>
      <c r="AD891" s="137">
        <f>(Z891-Q891)*0.89807640489087</f>
        <v>1837438.8190368214</v>
      </c>
      <c r="AE891" s="138">
        <v>0.11269173273981201</v>
      </c>
      <c r="AF891" s="137">
        <f t="shared" si="180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863</v>
      </c>
      <c r="H892" s="119" t="s">
        <v>864</v>
      </c>
      <c r="I892" s="119" t="s">
        <v>168</v>
      </c>
      <c r="J892" s="119" t="s">
        <v>600</v>
      </c>
      <c r="K892" s="119" t="s">
        <v>879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5"/>
        <v>7000</v>
      </c>
      <c r="U892" s="137">
        <f t="shared" si="169"/>
        <v>357000</v>
      </c>
      <c r="V892" s="137">
        <v>500000</v>
      </c>
      <c r="W892" s="137">
        <f t="shared" si="170"/>
        <v>-143000</v>
      </c>
      <c r="X892" s="137">
        <f t="shared" si="166"/>
        <v>-140196.07843137256</v>
      </c>
      <c r="Y892" s="137">
        <f t="shared" si="171"/>
        <v>-2803.9215686274401</v>
      </c>
      <c r="Z892" s="137">
        <v>630477.5</v>
      </c>
      <c r="AA892" s="137">
        <f t="shared" si="167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8"/>
        <v>12362.303921568673</v>
      </c>
      <c r="AD892" s="137">
        <v>630477.5</v>
      </c>
      <c r="AE892" s="138">
        <v>0.1</v>
      </c>
      <c r="AF892" s="137">
        <f t="shared" si="180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hidden="1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767</v>
      </c>
      <c r="G893" s="119" t="s">
        <v>767</v>
      </c>
      <c r="H893" s="119" t="s">
        <v>767</v>
      </c>
      <c r="I893" s="119" t="s">
        <v>168</v>
      </c>
      <c r="J893" s="119" t="s">
        <v>169</v>
      </c>
      <c r="K893" s="119" t="s">
        <v>170</v>
      </c>
      <c r="L893" s="119" t="s">
        <v>767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5"/>
        <v>30400</v>
      </c>
      <c r="U893" s="137">
        <f t="shared" si="169"/>
        <v>1550400</v>
      </c>
      <c r="V893" s="137">
        <v>1457442</v>
      </c>
      <c r="W893" s="137">
        <f t="shared" si="170"/>
        <v>92958</v>
      </c>
      <c r="X893" s="137">
        <f t="shared" si="166"/>
        <v>91135.294117647063</v>
      </c>
      <c r="Y893" s="137">
        <f t="shared" si="171"/>
        <v>1822.7058823529369</v>
      </c>
      <c r="Z893" s="137">
        <v>1483886.8</v>
      </c>
      <c r="AA893" s="137">
        <f t="shared" si="167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8"/>
        <v>29095.819607843179</v>
      </c>
      <c r="AD893" s="137">
        <f t="shared" ref="AD893:AD895" si="182">(Z893-Q893)*0.89807640489087</f>
        <v>1332643.7226090175</v>
      </c>
      <c r="AE893" s="138">
        <v>0.11269173273981201</v>
      </c>
      <c r="AF893" s="137">
        <f t="shared" si="180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hidden="1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447</v>
      </c>
      <c r="F894" s="119" t="s">
        <v>916</v>
      </c>
      <c r="G894" s="119" t="s">
        <v>916</v>
      </c>
      <c r="H894" s="119" t="s">
        <v>916</v>
      </c>
      <c r="I894" s="119" t="s">
        <v>168</v>
      </c>
      <c r="J894" s="119" t="s">
        <v>169</v>
      </c>
      <c r="K894" s="119" t="s">
        <v>170</v>
      </c>
      <c r="L894" s="119" t="s">
        <v>916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5"/>
        <v>5000</v>
      </c>
      <c r="U894" s="137">
        <f t="shared" si="169"/>
        <v>255000</v>
      </c>
      <c r="V894" s="137">
        <v>254000</v>
      </c>
      <c r="W894" s="137">
        <f t="shared" si="170"/>
        <v>1000</v>
      </c>
      <c r="X894" s="137">
        <f t="shared" si="166"/>
        <v>980.39215686274508</v>
      </c>
      <c r="Y894" s="137">
        <f t="shared" si="171"/>
        <v>19.607843137254918</v>
      </c>
      <c r="Z894" s="137">
        <v>217401.1</v>
      </c>
      <c r="AA894" s="137">
        <f t="shared" si="167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8"/>
        <v>4262.7666666666628</v>
      </c>
      <c r="AD894" s="137">
        <f t="shared" si="182"/>
        <v>195242.79830732054</v>
      </c>
      <c r="AE894" s="138">
        <v>0.11269173273981201</v>
      </c>
      <c r="AF894" s="137">
        <f t="shared" si="180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hidden="1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917</v>
      </c>
      <c r="G895" s="119" t="s">
        <v>917</v>
      </c>
      <c r="H895" s="119" t="s">
        <v>917</v>
      </c>
      <c r="I895" s="119" t="s">
        <v>168</v>
      </c>
      <c r="J895" s="119" t="s">
        <v>169</v>
      </c>
      <c r="K895" s="119" t="s">
        <v>170</v>
      </c>
      <c r="L895" s="119" t="s">
        <v>918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5"/>
        <v>192.13900000000001</v>
      </c>
      <c r="U895" s="137">
        <f t="shared" si="169"/>
        <v>9799.0889999999999</v>
      </c>
      <c r="V895" s="137">
        <v>9799</v>
      </c>
      <c r="W895" s="137">
        <f t="shared" si="170"/>
        <v>8.8999999999941792E-2</v>
      </c>
      <c r="X895" s="137">
        <f t="shared" si="166"/>
        <v>8.7254901960727244E-2</v>
      </c>
      <c r="Y895" s="137">
        <f t="shared" si="171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8"/>
        <v>191.25</v>
      </c>
      <c r="AD895" s="137">
        <f t="shared" si="182"/>
        <v>8799.5322304017227</v>
      </c>
      <c r="AE895" s="138">
        <v>0.11269173273981201</v>
      </c>
      <c r="AF895" s="137">
        <f t="shared" si="180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hidden="1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917</v>
      </c>
      <c r="G896" s="119" t="s">
        <v>917</v>
      </c>
      <c r="H896" s="119" t="s">
        <v>917</v>
      </c>
      <c r="I896" s="119" t="s">
        <v>168</v>
      </c>
      <c r="J896" s="119" t="s">
        <v>169</v>
      </c>
      <c r="K896" s="119" t="s">
        <v>170</v>
      </c>
      <c r="L896" s="119" t="s">
        <v>918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5"/>
        <v>1.8440000000000001</v>
      </c>
      <c r="U896" s="137">
        <f t="shared" si="169"/>
        <v>24.894000000000002</v>
      </c>
      <c r="V896" s="137">
        <v>24.899999999999601</v>
      </c>
      <c r="W896" s="137">
        <f t="shared" si="170"/>
        <v>-5.9999999995987707E-3</v>
      </c>
      <c r="X896" s="137">
        <f t="shared" si="166"/>
        <v>-5.5555555551840465E-3</v>
      </c>
      <c r="Y896" s="137">
        <f t="shared" si="171"/>
        <v>-4.4444444441472421E-4</v>
      </c>
      <c r="Z896" s="137">
        <v>24.9</v>
      </c>
      <c r="AA896" s="137">
        <f t="shared" si="167"/>
        <v>-3.979039320256561E-13</v>
      </c>
      <c r="AB896" s="146">
        <v>23.05</v>
      </c>
      <c r="AC896" s="147">
        <f t="shared" si="168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80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hidden="1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5"/>
        <v>17600</v>
      </c>
      <c r="U897" s="137">
        <f t="shared" si="169"/>
        <v>457600</v>
      </c>
      <c r="V897" s="137">
        <v>457600</v>
      </c>
      <c r="W897" s="137">
        <f t="shared" si="170"/>
        <v>0</v>
      </c>
      <c r="X897" s="137">
        <f t="shared" si="166"/>
        <v>0</v>
      </c>
      <c r="Y897" s="137">
        <f t="shared" si="171"/>
        <v>0</v>
      </c>
      <c r="Z897" s="137">
        <v>580708.6</v>
      </c>
      <c r="AA897" s="137">
        <f t="shared" si="167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8"/>
        <v>287001.64134615386</v>
      </c>
      <c r="AD897" s="137">
        <f t="shared" ref="AD897:AD898" si="183">(Z897-Q897)*0.89807640489087</f>
        <v>274322.14110004861</v>
      </c>
      <c r="AE897" s="138">
        <v>0.11269173273981201</v>
      </c>
      <c r="AF897" s="137">
        <f t="shared" si="180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hidden="1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671</v>
      </c>
      <c r="G898" s="119" t="s">
        <v>671</v>
      </c>
      <c r="H898" s="119" t="s">
        <v>671</v>
      </c>
      <c r="I898" s="119" t="s">
        <v>168</v>
      </c>
      <c r="J898" s="119" t="s">
        <v>169</v>
      </c>
      <c r="K898" s="119" t="s">
        <v>170</v>
      </c>
      <c r="L898" s="119" t="s">
        <v>671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4">S898*N898</f>
        <v>120000</v>
      </c>
      <c r="U898" s="137">
        <f t="shared" si="169"/>
        <v>3120000</v>
      </c>
      <c r="V898" s="137">
        <v>3092000</v>
      </c>
      <c r="W898" s="137">
        <f t="shared" si="170"/>
        <v>28000</v>
      </c>
      <c r="X898" s="137">
        <f t="shared" ref="X898:X961" si="185">W898/(1+N898)</f>
        <v>26923.076923076922</v>
      </c>
      <c r="Y898" s="137">
        <f t="shared" si="171"/>
        <v>1076.923076923078</v>
      </c>
      <c r="Z898" s="137">
        <v>0</v>
      </c>
      <c r="AA898" s="137">
        <f t="shared" ref="AA898:AA961" si="186">Q898+V898-Z898</f>
        <v>3092000</v>
      </c>
      <c r="AB898" s="146">
        <f t="shared" ref="AB898:AB906" si="187">IF(O898="返货",Z898/(1+N898),IF(O898="返现",Z898,IF(O898="折扣",Z898*N898,IF(O898="无",Z898))))</f>
        <v>0</v>
      </c>
      <c r="AC898" s="147">
        <f t="shared" ref="AC898:AC961" si="188">IF(O898="返现",Z898*N898,Z898-AB898)</f>
        <v>0</v>
      </c>
      <c r="AD898" s="137">
        <f t="shared" si="183"/>
        <v>0</v>
      </c>
      <c r="AE898" s="138">
        <v>0.11269173273981201</v>
      </c>
      <c r="AF898" s="137">
        <f t="shared" si="180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hidden="1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671</v>
      </c>
      <c r="G899" s="119" t="s">
        <v>671</v>
      </c>
      <c r="H899" s="119" t="s">
        <v>671</v>
      </c>
      <c r="I899" s="119" t="s">
        <v>168</v>
      </c>
      <c r="J899" s="119" t="s">
        <v>169</v>
      </c>
      <c r="K899" s="119" t="s">
        <v>170</v>
      </c>
      <c r="L899" s="119" t="s">
        <v>671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4"/>
        <v>3343.2000000000003</v>
      </c>
      <c r="U899" s="137">
        <f t="shared" ref="U899:U962" si="189">R899+S899+T899</f>
        <v>86923.199999999997</v>
      </c>
      <c r="V899" s="137">
        <v>83580</v>
      </c>
      <c r="W899" s="137">
        <f t="shared" ref="W899:W962" si="190">U899-V899</f>
        <v>3343.1999999999971</v>
      </c>
      <c r="X899" s="137">
        <f t="shared" si="185"/>
        <v>3214.6153846153816</v>
      </c>
      <c r="Y899" s="137">
        <f t="shared" ref="Y899:Y962" si="191">W899-X899</f>
        <v>128.58461538461552</v>
      </c>
      <c r="Z899" s="137">
        <v>83580</v>
      </c>
      <c r="AA899" s="137">
        <f t="shared" si="186"/>
        <v>0</v>
      </c>
      <c r="AB899" s="146">
        <f t="shared" si="187"/>
        <v>80365.38461538461</v>
      </c>
      <c r="AC899" s="147">
        <f t="shared" si="188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80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hidden="1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919</v>
      </c>
      <c r="H900" s="119" t="s">
        <v>919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437</v>
      </c>
      <c r="Q900" s="137">
        <v>0</v>
      </c>
      <c r="R900" s="137">
        <v>0</v>
      </c>
      <c r="S900" s="137">
        <v>796538.46</v>
      </c>
      <c r="T900" s="137">
        <f t="shared" si="184"/>
        <v>31861.538399999998</v>
      </c>
      <c r="U900" s="137">
        <f t="shared" si="189"/>
        <v>828399.99839999992</v>
      </c>
      <c r="V900" s="137">
        <v>828399.99840000004</v>
      </c>
      <c r="W900" s="137">
        <f t="shared" si="190"/>
        <v>0</v>
      </c>
      <c r="X900" s="137">
        <f t="shared" si="185"/>
        <v>0</v>
      </c>
      <c r="Y900" s="137">
        <f t="shared" si="191"/>
        <v>0</v>
      </c>
      <c r="Z900" s="137">
        <v>828400</v>
      </c>
      <c r="AA900" s="137">
        <f t="shared" si="186"/>
        <v>-1.5999999595806003E-3</v>
      </c>
      <c r="AB900" s="146">
        <f t="shared" si="187"/>
        <v>796538.4615384615</v>
      </c>
      <c r="AC900" s="147">
        <f t="shared" si="188"/>
        <v>31861.538461538497</v>
      </c>
      <c r="AD900" s="137">
        <f t="shared" ref="AD900:AD902" si="192">(Z900-Q900)*0.89807640489087</f>
        <v>743966.49381159677</v>
      </c>
      <c r="AE900" s="138">
        <v>0.11269173273981201</v>
      </c>
      <c r="AF900" s="137">
        <f t="shared" si="180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hidden="1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920</v>
      </c>
      <c r="G901" s="119" t="s">
        <v>920</v>
      </c>
      <c r="H901" s="119" t="s">
        <v>920</v>
      </c>
      <c r="I901" s="119" t="s">
        <v>168</v>
      </c>
      <c r="J901" s="119" t="s">
        <v>169</v>
      </c>
      <c r="K901" s="119" t="s">
        <v>170</v>
      </c>
      <c r="L901" s="119" t="s">
        <v>920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4"/>
        <v>6816</v>
      </c>
      <c r="U901" s="137">
        <f t="shared" si="189"/>
        <v>177216</v>
      </c>
      <c r="V901" s="137">
        <v>170400</v>
      </c>
      <c r="W901" s="137">
        <f t="shared" si="190"/>
        <v>6816</v>
      </c>
      <c r="X901" s="137">
        <f t="shared" si="185"/>
        <v>6553.8461538461534</v>
      </c>
      <c r="Y901" s="137">
        <f t="shared" si="191"/>
        <v>262.15384615384664</v>
      </c>
      <c r="Z901" s="137">
        <v>170402.1</v>
      </c>
      <c r="AA901" s="137">
        <f t="shared" si="186"/>
        <v>-2.1000000000058208</v>
      </c>
      <c r="AB901" s="146">
        <f t="shared" si="187"/>
        <v>163848.17307692306</v>
      </c>
      <c r="AC901" s="147">
        <f t="shared" si="188"/>
        <v>6553.9269230769423</v>
      </c>
      <c r="AD901" s="137">
        <f t="shared" si="192"/>
        <v>153034.10535385454</v>
      </c>
      <c r="AE901" s="138">
        <v>0.11269173273981201</v>
      </c>
      <c r="AF901" s="137">
        <f t="shared" si="180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hidden="1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921</v>
      </c>
      <c r="G902" s="119" t="s">
        <v>921</v>
      </c>
      <c r="H902" s="119" t="s">
        <v>921</v>
      </c>
      <c r="I902" s="119" t="s">
        <v>168</v>
      </c>
      <c r="J902" s="119" t="s">
        <v>169</v>
      </c>
      <c r="K902" s="119" t="s">
        <v>170</v>
      </c>
      <c r="L902" s="119" t="s">
        <v>921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4"/>
        <v>900</v>
      </c>
      <c r="U902" s="137">
        <f t="shared" si="189"/>
        <v>45900</v>
      </c>
      <c r="V902" s="137">
        <v>45000</v>
      </c>
      <c r="W902" s="137">
        <f t="shared" si="190"/>
        <v>900</v>
      </c>
      <c r="X902" s="137">
        <f t="shared" si="185"/>
        <v>882.35294117647061</v>
      </c>
      <c r="Y902" s="137">
        <f t="shared" si="191"/>
        <v>17.647058823529392</v>
      </c>
      <c r="Z902" s="137">
        <v>44024.5</v>
      </c>
      <c r="AA902" s="137">
        <f t="shared" si="186"/>
        <v>975.5</v>
      </c>
      <c r="AB902" s="146">
        <f t="shared" si="187"/>
        <v>43161.274509803923</v>
      </c>
      <c r="AC902" s="147">
        <f t="shared" si="188"/>
        <v>863.22549019607686</v>
      </c>
      <c r="AD902" s="137">
        <f t="shared" si="192"/>
        <v>39537.364687118104</v>
      </c>
      <c r="AE902" s="138">
        <v>0.11269173273981201</v>
      </c>
      <c r="AF902" s="137">
        <f t="shared" si="180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hidden="1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922</v>
      </c>
      <c r="G903" s="119" t="s">
        <v>922</v>
      </c>
      <c r="H903" s="119" t="s">
        <v>922</v>
      </c>
      <c r="I903" s="119" t="s">
        <v>168</v>
      </c>
      <c r="J903" s="119" t="s">
        <v>169</v>
      </c>
      <c r="K903" s="119" t="s">
        <v>170</v>
      </c>
      <c r="L903" s="119" t="s">
        <v>922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4"/>
        <v>34363.637999999999</v>
      </c>
      <c r="U903" s="137">
        <f t="shared" si="189"/>
        <v>72545.457999999999</v>
      </c>
      <c r="V903" s="137">
        <v>31500</v>
      </c>
      <c r="W903" s="137">
        <f t="shared" si="190"/>
        <v>41045.457999999999</v>
      </c>
      <c r="X903" s="137">
        <f t="shared" si="185"/>
        <v>21602.872631578946</v>
      </c>
      <c r="Y903" s="137">
        <f t="shared" si="191"/>
        <v>19442.585368421052</v>
      </c>
      <c r="Z903" s="137">
        <v>10281.92</v>
      </c>
      <c r="AA903" s="137">
        <f t="shared" si="186"/>
        <v>21218.080000000002</v>
      </c>
      <c r="AB903" s="146">
        <f t="shared" si="187"/>
        <v>9253.728000000001</v>
      </c>
      <c r="AC903" s="147">
        <f t="shared" si="188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80"/>
        <v>1055.2415996809566</v>
      </c>
      <c r="AG903" s="137">
        <v>919.43729974414703</v>
      </c>
      <c r="AH903" s="154"/>
      <c r="AI903" s="154"/>
      <c r="AJ903" s="135" t="s">
        <v>923</v>
      </c>
      <c r="AK903" s="119" t="s">
        <v>923</v>
      </c>
      <c r="AM903" s="119" t="s">
        <v>172</v>
      </c>
    </row>
    <row r="904" spans="1:39" s="119" customFormat="1" ht="15" hidden="1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922</v>
      </c>
      <c r="G904" s="119" t="s">
        <v>922</v>
      </c>
      <c r="H904" s="119" t="s">
        <v>922</v>
      </c>
      <c r="I904" s="119" t="s">
        <v>168</v>
      </c>
      <c r="J904" s="119" t="s">
        <v>169</v>
      </c>
      <c r="K904" s="119" t="s">
        <v>170</v>
      </c>
      <c r="L904" s="119" t="s">
        <v>922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4"/>
        <v>8505</v>
      </c>
      <c r="U904" s="137">
        <f t="shared" si="189"/>
        <v>17955</v>
      </c>
      <c r="V904" s="137">
        <v>0</v>
      </c>
      <c r="W904" s="137">
        <f t="shared" si="190"/>
        <v>17955</v>
      </c>
      <c r="X904" s="137">
        <f t="shared" si="185"/>
        <v>9450</v>
      </c>
      <c r="Y904" s="137">
        <f t="shared" si="191"/>
        <v>8505</v>
      </c>
      <c r="Z904" s="137">
        <v>0</v>
      </c>
      <c r="AA904" s="137">
        <f t="shared" si="186"/>
        <v>0</v>
      </c>
      <c r="AB904" s="146">
        <f t="shared" si="187"/>
        <v>0</v>
      </c>
      <c r="AC904" s="147">
        <f t="shared" si="188"/>
        <v>0</v>
      </c>
      <c r="AD904" s="137">
        <f t="shared" ref="AD904:AD905" si="193">(Z904-Q904)*0.89807640489087</f>
        <v>0</v>
      </c>
      <c r="AE904" s="138">
        <v>0.11269173273981201</v>
      </c>
      <c r="AF904" s="137">
        <f t="shared" si="180"/>
        <v>0</v>
      </c>
      <c r="AG904" s="137">
        <v>0</v>
      </c>
      <c r="AH904" s="154"/>
      <c r="AI904" s="154"/>
      <c r="AJ904" s="135" t="s">
        <v>924</v>
      </c>
      <c r="AK904" s="119" t="s">
        <v>924</v>
      </c>
    </row>
    <row r="905" spans="1:39" s="119" customFormat="1" ht="15" hidden="1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674</v>
      </c>
      <c r="G905" s="119" t="s">
        <v>674</v>
      </c>
      <c r="H905" s="119" t="s">
        <v>674</v>
      </c>
      <c r="I905" s="119" t="s">
        <v>168</v>
      </c>
      <c r="J905" s="119" t="s">
        <v>169</v>
      </c>
      <c r="K905" s="119" t="s">
        <v>170</v>
      </c>
      <c r="L905" s="119" t="s">
        <v>674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4"/>
        <v>55245.049599999998</v>
      </c>
      <c r="U905" s="137">
        <f t="shared" si="189"/>
        <v>1436371.2896</v>
      </c>
      <c r="V905" s="137">
        <v>1405966.15</v>
      </c>
      <c r="W905" s="137">
        <f t="shared" si="190"/>
        <v>30405.139600000111</v>
      </c>
      <c r="X905" s="137">
        <f t="shared" si="185"/>
        <v>29235.71115384626</v>
      </c>
      <c r="Y905" s="137">
        <f t="shared" si="191"/>
        <v>1169.4284461538518</v>
      </c>
      <c r="Z905" s="137">
        <v>1376696.2</v>
      </c>
      <c r="AA905" s="137">
        <f t="shared" si="186"/>
        <v>29269.949999999953</v>
      </c>
      <c r="AB905" s="146">
        <f t="shared" si="187"/>
        <v>1323746.346153846</v>
      </c>
      <c r="AC905" s="147">
        <f t="shared" si="188"/>
        <v>52949.853846153943</v>
      </c>
      <c r="AD905" s="137">
        <f t="shared" si="193"/>
        <v>1236378.3739229222</v>
      </c>
      <c r="AE905" s="138">
        <v>0.11269173273981201</v>
      </c>
      <c r="AF905" s="137">
        <f t="shared" si="180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hidden="1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674</v>
      </c>
      <c r="G906" s="119" t="s">
        <v>674</v>
      </c>
      <c r="H906" s="119" t="s">
        <v>674</v>
      </c>
      <c r="I906" s="119" t="s">
        <v>168</v>
      </c>
      <c r="J906" s="119" t="s">
        <v>169</v>
      </c>
      <c r="K906" s="119" t="s">
        <v>170</v>
      </c>
      <c r="L906" s="119" t="s">
        <v>674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4"/>
        <v>5800.06</v>
      </c>
      <c r="U906" s="137">
        <f t="shared" si="189"/>
        <v>78300.81</v>
      </c>
      <c r="V906" s="137">
        <v>68300</v>
      </c>
      <c r="W906" s="137">
        <f t="shared" si="190"/>
        <v>10000.809999999998</v>
      </c>
      <c r="X906" s="137">
        <f t="shared" si="185"/>
        <v>9260.0092592592573</v>
      </c>
      <c r="Y906" s="137">
        <f t="shared" si="191"/>
        <v>740.80074074074037</v>
      </c>
      <c r="Z906" s="137">
        <v>51533.02</v>
      </c>
      <c r="AA906" s="137">
        <f t="shared" si="186"/>
        <v>16766.980000000003</v>
      </c>
      <c r="AB906" s="146">
        <f t="shared" si="187"/>
        <v>47715.759259259255</v>
      </c>
      <c r="AC906" s="147">
        <f t="shared" si="188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80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925</v>
      </c>
      <c r="M907" s="119" t="s">
        <v>45</v>
      </c>
      <c r="N907" s="135">
        <v>0</v>
      </c>
      <c r="O907" s="135" t="s">
        <v>46</v>
      </c>
      <c r="P907" s="135" t="s">
        <v>848</v>
      </c>
      <c r="Q907" s="137">
        <v>0.6</v>
      </c>
      <c r="R907" s="137">
        <v>0</v>
      </c>
      <c r="S907" s="137"/>
      <c r="T907" s="137">
        <f t="shared" si="184"/>
        <v>0</v>
      </c>
      <c r="U907" s="137">
        <f t="shared" si="189"/>
        <v>0</v>
      </c>
      <c r="V907" s="137">
        <v>0</v>
      </c>
      <c r="W907" s="137">
        <f t="shared" si="190"/>
        <v>0</v>
      </c>
      <c r="X907" s="137">
        <f t="shared" si="185"/>
        <v>0</v>
      </c>
      <c r="Y907" s="137">
        <f t="shared" si="191"/>
        <v>0</v>
      </c>
      <c r="Z907" s="137">
        <v>23526.6</v>
      </c>
      <c r="AA907" s="137">
        <f t="shared" si="186"/>
        <v>-23526</v>
      </c>
      <c r="AB907" s="146">
        <v>0</v>
      </c>
      <c r="AC907" s="147">
        <f t="shared" si="188"/>
        <v>23526.6</v>
      </c>
      <c r="AD907" s="137">
        <f t="shared" ref="AD907:AD911" si="194">(Z907-Q907)*0.89807640489087</f>
        <v>21128.145501462608</v>
      </c>
      <c r="AE907" s="138">
        <v>0.11269173273981201</v>
      </c>
      <c r="AF907" s="137">
        <f t="shared" si="180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hidden="1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926</v>
      </c>
      <c r="G908" s="119" t="s">
        <v>926</v>
      </c>
      <c r="H908" s="119" t="s">
        <v>926</v>
      </c>
      <c r="I908" s="119" t="s">
        <v>168</v>
      </c>
      <c r="J908" s="119" t="s">
        <v>169</v>
      </c>
      <c r="K908" s="119" t="s">
        <v>170</v>
      </c>
      <c r="L908" s="119" t="s">
        <v>927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4"/>
        <v>8040</v>
      </c>
      <c r="U908" s="137">
        <f t="shared" si="189"/>
        <v>142040</v>
      </c>
      <c r="V908" s="137">
        <v>30000</v>
      </c>
      <c r="W908" s="137">
        <f t="shared" si="190"/>
        <v>112040</v>
      </c>
      <c r="X908" s="137">
        <f t="shared" si="185"/>
        <v>105698.11320754717</v>
      </c>
      <c r="Y908" s="137">
        <f t="shared" si="191"/>
        <v>6341.8867924528313</v>
      </c>
      <c r="Z908" s="137">
        <v>0</v>
      </c>
      <c r="AA908" s="137">
        <f t="shared" si="186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8"/>
        <v>2499.716981132075</v>
      </c>
      <c r="AD908" s="137">
        <f t="shared" si="194"/>
        <v>-2379.6330500393383</v>
      </c>
      <c r="AE908" s="138">
        <v>0.11269173273981201</v>
      </c>
      <c r="AF908" s="137">
        <f t="shared" si="180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hidden="1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676</v>
      </c>
      <c r="G909" s="119" t="s">
        <v>676</v>
      </c>
      <c r="H909" s="119" t="s">
        <v>676</v>
      </c>
      <c r="I909" s="119" t="s">
        <v>168</v>
      </c>
      <c r="J909" s="119" t="s">
        <v>169</v>
      </c>
      <c r="K909" s="119" t="s">
        <v>170</v>
      </c>
      <c r="L909" s="119" t="s">
        <v>676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4"/>
        <v>39777.24</v>
      </c>
      <c r="U909" s="137">
        <f t="shared" si="189"/>
        <v>702731.24</v>
      </c>
      <c r="V909" s="137">
        <v>792697.97</v>
      </c>
      <c r="W909" s="137">
        <f t="shared" si="190"/>
        <v>-89966.729999999981</v>
      </c>
      <c r="X909" s="137">
        <f t="shared" si="185"/>
        <v>-84874.273584905633</v>
      </c>
      <c r="Y909" s="137">
        <f t="shared" si="191"/>
        <v>-5092.4564150943479</v>
      </c>
      <c r="Z909" s="137">
        <v>615795.19999999995</v>
      </c>
      <c r="AA909" s="137">
        <f t="shared" si="186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8"/>
        <v>129195.95471698116</v>
      </c>
      <c r="AD909" s="137">
        <f t="shared" si="194"/>
        <v>463223.49887596723</v>
      </c>
      <c r="AE909" s="138">
        <v>0.11269173273981201</v>
      </c>
      <c r="AF909" s="137">
        <f t="shared" si="180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hidden="1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437</v>
      </c>
      <c r="Q910" s="137">
        <v>0</v>
      </c>
      <c r="R910" s="137">
        <v>0</v>
      </c>
      <c r="S910" s="137">
        <v>1996226.41</v>
      </c>
      <c r="T910" s="137">
        <f t="shared" si="184"/>
        <v>119773.58459999999</v>
      </c>
      <c r="U910" s="137">
        <f t="shared" si="189"/>
        <v>2115999.9945999999</v>
      </c>
      <c r="V910" s="137">
        <v>2115999.9945999999</v>
      </c>
      <c r="W910" s="137">
        <f t="shared" si="190"/>
        <v>0</v>
      </c>
      <c r="X910" s="137">
        <f t="shared" si="185"/>
        <v>0</v>
      </c>
      <c r="Y910" s="137">
        <f t="shared" si="191"/>
        <v>0</v>
      </c>
      <c r="Z910" s="137">
        <f>2920389.2-Z900</f>
        <v>2091989.2000000002</v>
      </c>
      <c r="AA910" s="137">
        <f t="shared" si="186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8"/>
        <v>118414.48301886814</v>
      </c>
      <c r="AD910" s="137">
        <f t="shared" si="194"/>
        <v>1878766.1398065274</v>
      </c>
      <c r="AE910" s="138">
        <v>0.11269173273981201</v>
      </c>
      <c r="AF910" s="137">
        <f t="shared" si="180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hidden="1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928</v>
      </c>
      <c r="G911" s="119" t="s">
        <v>928</v>
      </c>
      <c r="H911" s="119" t="s">
        <v>928</v>
      </c>
      <c r="I911" s="119" t="s">
        <v>168</v>
      </c>
      <c r="J911" s="119" t="s">
        <v>169</v>
      </c>
      <c r="K911" s="119" t="s">
        <v>170</v>
      </c>
      <c r="L911" s="119" t="s">
        <v>928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4"/>
        <v>20405.662199999999</v>
      </c>
      <c r="U911" s="137">
        <f t="shared" si="189"/>
        <v>360500.03220000002</v>
      </c>
      <c r="V911" s="137">
        <v>360500</v>
      </c>
      <c r="W911" s="137">
        <f t="shared" si="190"/>
        <v>3.2200000016018748E-2</v>
      </c>
      <c r="X911" s="137">
        <f t="shared" si="185"/>
        <v>3.0377358505678062E-2</v>
      </c>
      <c r="Y911" s="137">
        <f t="shared" si="191"/>
        <v>1.8226415103406862E-3</v>
      </c>
      <c r="Z911" s="137">
        <v>338262.9</v>
      </c>
      <c r="AA911" s="137">
        <f t="shared" si="186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8"/>
        <v>19146.956603773579</v>
      </c>
      <c r="AD911" s="137">
        <f t="shared" si="194"/>
        <v>303785.92913995992</v>
      </c>
      <c r="AE911" s="138">
        <v>0.11269173273981201</v>
      </c>
      <c r="AF911" s="137">
        <f t="shared" si="180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hidden="1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929</v>
      </c>
      <c r="G912" s="119" t="s">
        <v>929</v>
      </c>
      <c r="H912" s="119" t="s">
        <v>929</v>
      </c>
      <c r="I912" s="119" t="s">
        <v>168</v>
      </c>
      <c r="J912" s="119" t="s">
        <v>861</v>
      </c>
      <c r="K912" s="119" t="s">
        <v>862</v>
      </c>
      <c r="L912" s="119" t="s">
        <v>929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4"/>
        <v>0</v>
      </c>
      <c r="U912" s="137">
        <f t="shared" si="189"/>
        <v>100000</v>
      </c>
      <c r="V912" s="137">
        <v>239890</v>
      </c>
      <c r="W912" s="137">
        <f t="shared" si="190"/>
        <v>-139890</v>
      </c>
      <c r="X912" s="137">
        <f t="shared" si="185"/>
        <v>-139890</v>
      </c>
      <c r="Y912" s="137">
        <f t="shared" si="191"/>
        <v>0</v>
      </c>
      <c r="Z912" s="137">
        <v>239894.7</v>
      </c>
      <c r="AA912" s="137">
        <f t="shared" si="186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8"/>
        <v>5013.7149999999965</v>
      </c>
      <c r="AD912" s="137">
        <f>Z912*0.972201473425119-Q912</f>
        <v>228212.26580687691</v>
      </c>
      <c r="AE912" s="138">
        <v>0.1</v>
      </c>
      <c r="AF912" s="137">
        <f t="shared" si="180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930</v>
      </c>
      <c r="G913" s="119" t="s">
        <v>930</v>
      </c>
      <c r="H913" s="119" t="s">
        <v>930</v>
      </c>
      <c r="I913" s="119" t="s">
        <v>168</v>
      </c>
      <c r="J913" s="119" t="s">
        <v>169</v>
      </c>
      <c r="K913" s="119" t="s">
        <v>170</v>
      </c>
      <c r="L913" s="119" t="s">
        <v>930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4"/>
        <v>4600</v>
      </c>
      <c r="U913" s="137">
        <f t="shared" si="189"/>
        <v>234600</v>
      </c>
      <c r="V913" s="137">
        <v>234600</v>
      </c>
      <c r="W913" s="137">
        <f t="shared" si="190"/>
        <v>0</v>
      </c>
      <c r="X913" s="137">
        <f t="shared" si="185"/>
        <v>0</v>
      </c>
      <c r="Y913" s="137">
        <f t="shared" si="191"/>
        <v>0</v>
      </c>
      <c r="Z913" s="137">
        <v>201385.5</v>
      </c>
      <c r="AA913" s="137">
        <f t="shared" si="186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8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80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hidden="1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931</v>
      </c>
      <c r="G914" s="119" t="s">
        <v>932</v>
      </c>
      <c r="H914" s="119" t="s">
        <v>933</v>
      </c>
      <c r="I914" s="119" t="s">
        <v>168</v>
      </c>
      <c r="J914" s="119" t="s">
        <v>861</v>
      </c>
      <c r="K914" s="119" t="s">
        <v>862</v>
      </c>
      <c r="L914" s="119" t="s">
        <v>931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4"/>
        <v>49141.286</v>
      </c>
      <c r="U914" s="137">
        <f t="shared" si="189"/>
        <v>2506205.5859999997</v>
      </c>
      <c r="V914" s="137">
        <v>2823005.5860000001</v>
      </c>
      <c r="W914" s="137">
        <f t="shared" si="190"/>
        <v>-316800.00000000047</v>
      </c>
      <c r="X914" s="137">
        <f t="shared" si="185"/>
        <v>-310588.23529411812</v>
      </c>
      <c r="Y914" s="137">
        <f t="shared" si="191"/>
        <v>-6211.7647058823495</v>
      </c>
      <c r="Z914" s="137">
        <v>3027446.6</v>
      </c>
      <c r="AA914" s="137">
        <f t="shared" si="186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8"/>
        <v>274696.02156862756</v>
      </c>
      <c r="AD914" s="137">
        <f>Z914*0.972201473425119-Q914</f>
        <v>2723647.0352358669</v>
      </c>
      <c r="AE914" s="138">
        <v>0.1</v>
      </c>
      <c r="AF914" s="137">
        <f t="shared" si="180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hidden="1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931</v>
      </c>
      <c r="G915" s="119" t="s">
        <v>932</v>
      </c>
      <c r="H915" s="119" t="s">
        <v>933</v>
      </c>
      <c r="I915" s="119" t="s">
        <v>168</v>
      </c>
      <c r="J915" s="119" t="s">
        <v>861</v>
      </c>
      <c r="K915" s="119" t="s">
        <v>862</v>
      </c>
      <c r="L915" s="119" t="s">
        <v>931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4"/>
        <v>0</v>
      </c>
      <c r="U915" s="137">
        <f t="shared" si="189"/>
        <v>15200</v>
      </c>
      <c r="V915" s="137">
        <v>15200</v>
      </c>
      <c r="W915" s="137">
        <f t="shared" si="190"/>
        <v>0</v>
      </c>
      <c r="X915" s="137">
        <f t="shared" si="185"/>
        <v>0</v>
      </c>
      <c r="Y915" s="137">
        <f t="shared" si="191"/>
        <v>0</v>
      </c>
      <c r="Z915" s="137">
        <v>15200</v>
      </c>
      <c r="AA915" s="137">
        <f t="shared" si="186"/>
        <v>0</v>
      </c>
      <c r="AB915" s="146">
        <f>IF(O915="返货",Z915/(1+N915),IF(O915="返现",Z915,IF(O915="折扣",Z915*N915,IF(O915="无",Z915))))</f>
        <v>15200</v>
      </c>
      <c r="AC915" s="147">
        <f t="shared" si="188"/>
        <v>0</v>
      </c>
      <c r="AD915" s="137">
        <f>Z915</f>
        <v>15200</v>
      </c>
      <c r="AE915" s="138">
        <v>0</v>
      </c>
      <c r="AF915" s="137">
        <f t="shared" si="180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hidden="1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931</v>
      </c>
      <c r="G916" s="119" t="s">
        <v>932</v>
      </c>
      <c r="H916" s="119" t="s">
        <v>933</v>
      </c>
      <c r="I916" s="119" t="s">
        <v>168</v>
      </c>
      <c r="J916" s="119" t="s">
        <v>169</v>
      </c>
      <c r="K916" s="119" t="s">
        <v>170</v>
      </c>
      <c r="L916" s="119" t="s">
        <v>931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4"/>
        <v>6000</v>
      </c>
      <c r="U916" s="137">
        <f t="shared" si="189"/>
        <v>306000</v>
      </c>
      <c r="V916" s="137">
        <v>0</v>
      </c>
      <c r="W916" s="137">
        <f t="shared" si="190"/>
        <v>306000</v>
      </c>
      <c r="X916" s="137">
        <f t="shared" si="185"/>
        <v>300000</v>
      </c>
      <c r="Y916" s="137">
        <f t="shared" si="191"/>
        <v>6000</v>
      </c>
      <c r="Z916" s="137">
        <v>0</v>
      </c>
      <c r="AA916" s="137">
        <f t="shared" si="186"/>
        <v>0</v>
      </c>
      <c r="AB916" s="146">
        <f>IF(O916="返货",Z916/(1+N916),IF(O916="返现",Z916,IF(O916="折扣",Z916*N916,IF(O916="无",Z916))))</f>
        <v>0</v>
      </c>
      <c r="AC916" s="147">
        <f t="shared" si="188"/>
        <v>0</v>
      </c>
      <c r="AD916" s="137">
        <f t="shared" ref="AD916:AD917" si="195">(Z916-Q916)*0.89807640489087</f>
        <v>0</v>
      </c>
      <c r="AE916" s="138">
        <v>0.11269173273981201</v>
      </c>
      <c r="AF916" s="137">
        <f t="shared" si="180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hidden="1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445</v>
      </c>
      <c r="H917" s="119" t="s">
        <v>445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4"/>
        <v>9000</v>
      </c>
      <c r="U917" s="137">
        <f t="shared" si="189"/>
        <v>459000</v>
      </c>
      <c r="V917" s="137">
        <v>459000</v>
      </c>
      <c r="W917" s="137">
        <f t="shared" si="190"/>
        <v>0</v>
      </c>
      <c r="X917" s="137">
        <f t="shared" si="185"/>
        <v>0</v>
      </c>
      <c r="Y917" s="137">
        <f t="shared" si="191"/>
        <v>0</v>
      </c>
      <c r="Z917" s="137">
        <v>445580</v>
      </c>
      <c r="AA917" s="137">
        <f t="shared" si="186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8"/>
        <v>8736.8627450980712</v>
      </c>
      <c r="AD917" s="137">
        <f t="shared" si="195"/>
        <v>400164.8844912739</v>
      </c>
      <c r="AE917" s="138">
        <v>0.11269173273981201</v>
      </c>
      <c r="AF917" s="137">
        <f t="shared" si="180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hidden="1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934</v>
      </c>
      <c r="G918" s="119" t="s">
        <v>934</v>
      </c>
      <c r="H918" s="119" t="s">
        <v>934</v>
      </c>
      <c r="I918" s="119" t="s">
        <v>168</v>
      </c>
      <c r="J918" s="119" t="s">
        <v>861</v>
      </c>
      <c r="K918" s="119" t="s">
        <v>862</v>
      </c>
      <c r="L918" s="119" t="s">
        <v>934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4"/>
        <v>2000</v>
      </c>
      <c r="U918" s="137">
        <f t="shared" si="189"/>
        <v>102000</v>
      </c>
      <c r="V918" s="137">
        <v>102000</v>
      </c>
      <c r="W918" s="137">
        <f t="shared" si="190"/>
        <v>0</v>
      </c>
      <c r="X918" s="137">
        <f t="shared" si="185"/>
        <v>0</v>
      </c>
      <c r="Y918" s="137">
        <f t="shared" si="191"/>
        <v>0</v>
      </c>
      <c r="Z918" s="137">
        <v>0</v>
      </c>
      <c r="AA918" s="137">
        <f t="shared" si="186"/>
        <v>102000</v>
      </c>
      <c r="AB918" s="146">
        <f>IF(O918="返货",Z918/(1+N918),IF(O918="返现",Z918,IF(O918="折扣",Z918*N918,IF(O918="无",Z918))))</f>
        <v>0</v>
      </c>
      <c r="AC918" s="147">
        <f t="shared" si="188"/>
        <v>0</v>
      </c>
      <c r="AD918" s="137">
        <f>Z918*0.972201473425119-Q918</f>
        <v>0</v>
      </c>
      <c r="AE918" s="138">
        <v>0.1</v>
      </c>
      <c r="AF918" s="137">
        <f t="shared" si="180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hidden="1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935</v>
      </c>
      <c r="G919" s="119" t="s">
        <v>936</v>
      </c>
      <c r="H919" s="119" t="s">
        <v>936</v>
      </c>
      <c r="I919" s="119" t="s">
        <v>168</v>
      </c>
      <c r="J919" s="119" t="s">
        <v>169</v>
      </c>
      <c r="K919" s="119" t="s">
        <v>170</v>
      </c>
      <c r="L919" s="119" t="s">
        <v>935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4"/>
        <v>0</v>
      </c>
      <c r="U919" s="137">
        <f t="shared" si="189"/>
        <v>300000</v>
      </c>
      <c r="V919" s="137">
        <v>300000</v>
      </c>
      <c r="W919" s="137">
        <f t="shared" si="190"/>
        <v>0</v>
      </c>
      <c r="X919" s="137">
        <f t="shared" si="185"/>
        <v>0</v>
      </c>
      <c r="Y919" s="137">
        <f t="shared" si="191"/>
        <v>0</v>
      </c>
      <c r="Z919" s="137">
        <v>420774.3</v>
      </c>
      <c r="AA919" s="137">
        <f t="shared" si="186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8"/>
        <v>100000</v>
      </c>
      <c r="AD919" s="137">
        <f t="shared" ref="AD919:AD922" si="196">(Z919-Q919)*0.89807640489087</f>
        <v>288079.83012538543</v>
      </c>
      <c r="AE919" s="138">
        <v>0.11269173273981201</v>
      </c>
      <c r="AF919" s="137">
        <f t="shared" si="180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hidden="1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937</v>
      </c>
      <c r="G920" s="119" t="s">
        <v>937</v>
      </c>
      <c r="H920" s="119" t="s">
        <v>937</v>
      </c>
      <c r="I920" s="119" t="s">
        <v>168</v>
      </c>
      <c r="J920" s="119" t="s">
        <v>169</v>
      </c>
      <c r="K920" s="119" t="s">
        <v>170</v>
      </c>
      <c r="L920" s="119" t="s">
        <v>937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4"/>
        <v>15661.319799999999</v>
      </c>
      <c r="U920" s="137">
        <f t="shared" si="189"/>
        <v>798727.30980000005</v>
      </c>
      <c r="V920" s="137">
        <v>836400</v>
      </c>
      <c r="W920" s="137">
        <f t="shared" si="190"/>
        <v>-37672.690199999954</v>
      </c>
      <c r="X920" s="137">
        <f t="shared" si="185"/>
        <v>-36934.009999999951</v>
      </c>
      <c r="Y920" s="137">
        <f t="shared" si="191"/>
        <v>-738.68020000000251</v>
      </c>
      <c r="Z920" s="137">
        <v>798727.3</v>
      </c>
      <c r="AA920" s="137">
        <f t="shared" si="186"/>
        <v>37672.699999999953</v>
      </c>
      <c r="AB920" s="146">
        <f t="shared" ref="AB920:AB927" si="197">IF(O920="返货",Z920/(1+N920),IF(O920="返现",Z920,IF(O920="折扣",Z920*N920,IF(O920="无",Z920))))</f>
        <v>783065.98039215687</v>
      </c>
      <c r="AC920" s="147">
        <f t="shared" si="188"/>
        <v>15661.319607843179</v>
      </c>
      <c r="AD920" s="137">
        <f t="shared" si="196"/>
        <v>717318.14207219146</v>
      </c>
      <c r="AE920" s="138">
        <v>0.11269173273981201</v>
      </c>
      <c r="AF920" s="137">
        <f t="shared" si="180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hidden="1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452</v>
      </c>
      <c r="G921" s="119" t="s">
        <v>452</v>
      </c>
      <c r="H921" s="119" t="s">
        <v>452</v>
      </c>
      <c r="I921" s="119" t="s">
        <v>168</v>
      </c>
      <c r="J921" s="119" t="s">
        <v>169</v>
      </c>
      <c r="K921" s="119" t="s">
        <v>170</v>
      </c>
      <c r="L921" s="119" t="s">
        <v>699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4"/>
        <v>575087.72320000001</v>
      </c>
      <c r="U921" s="137">
        <f t="shared" si="189"/>
        <v>14952280.803200001</v>
      </c>
      <c r="V921" s="137">
        <v>14952280.800000001</v>
      </c>
      <c r="W921" s="137">
        <f t="shared" si="190"/>
        <v>3.2000001519918442E-3</v>
      </c>
      <c r="X921" s="137">
        <f t="shared" si="185"/>
        <v>3.0769232230690806E-3</v>
      </c>
      <c r="Y921" s="137">
        <f t="shared" si="191"/>
        <v>1.2307692892276354E-4</v>
      </c>
      <c r="Z921" s="137">
        <v>14952280.300000001</v>
      </c>
      <c r="AA921" s="137">
        <f t="shared" si="186"/>
        <v>0.5</v>
      </c>
      <c r="AB921" s="146">
        <f t="shared" si="197"/>
        <v>14377192.596153846</v>
      </c>
      <c r="AC921" s="147">
        <f t="shared" si="188"/>
        <v>575087.70384615473</v>
      </c>
      <c r="AD921" s="137">
        <f t="shared" si="196"/>
        <v>13428290.136744581</v>
      </c>
      <c r="AE921" s="138">
        <v>0.11269173273981201</v>
      </c>
      <c r="AF921" s="137">
        <f t="shared" si="180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hidden="1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938</v>
      </c>
      <c r="G922" s="119" t="s">
        <v>938</v>
      </c>
      <c r="H922" s="119" t="s">
        <v>938</v>
      </c>
      <c r="I922" s="119" t="s">
        <v>168</v>
      </c>
      <c r="J922" s="119" t="s">
        <v>169</v>
      </c>
      <c r="K922" s="119" t="s">
        <v>170</v>
      </c>
      <c r="L922" s="119" t="s">
        <v>939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4"/>
        <v>12000</v>
      </c>
      <c r="U922" s="137">
        <f t="shared" si="189"/>
        <v>312000</v>
      </c>
      <c r="V922" s="137">
        <v>300000</v>
      </c>
      <c r="W922" s="137">
        <f t="shared" si="190"/>
        <v>12000</v>
      </c>
      <c r="X922" s="137">
        <f t="shared" si="185"/>
        <v>11538.461538461537</v>
      </c>
      <c r="Y922" s="137">
        <f t="shared" si="191"/>
        <v>461.5384615384628</v>
      </c>
      <c r="Z922" s="137">
        <v>283999.2</v>
      </c>
      <c r="AA922" s="137">
        <f t="shared" si="186"/>
        <v>16000.799999999988</v>
      </c>
      <c r="AB922" s="146">
        <f t="shared" si="197"/>
        <v>273076.15384615387</v>
      </c>
      <c r="AC922" s="147">
        <f t="shared" si="188"/>
        <v>10923.046153846139</v>
      </c>
      <c r="AD922" s="137">
        <f t="shared" si="196"/>
        <v>255052.98052788319</v>
      </c>
      <c r="AE922" s="138">
        <v>0.11269173273981201</v>
      </c>
      <c r="AF922" s="137">
        <f t="shared" si="180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940</v>
      </c>
      <c r="G923" s="119" t="s">
        <v>940</v>
      </c>
      <c r="H923" s="119" t="s">
        <v>940</v>
      </c>
      <c r="I923" s="119" t="s">
        <v>168</v>
      </c>
      <c r="J923" s="119" t="s">
        <v>600</v>
      </c>
      <c r="K923" s="119" t="s">
        <v>879</v>
      </c>
      <c r="L923" s="119" t="s">
        <v>940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4"/>
        <v>1000</v>
      </c>
      <c r="U923" s="137">
        <f t="shared" si="189"/>
        <v>51000</v>
      </c>
      <c r="V923" s="137">
        <v>50000</v>
      </c>
      <c r="W923" s="137">
        <f t="shared" si="190"/>
        <v>1000</v>
      </c>
      <c r="X923" s="137">
        <f t="shared" si="185"/>
        <v>980.39215686274508</v>
      </c>
      <c r="Y923" s="137">
        <f t="shared" si="191"/>
        <v>19.607843137254918</v>
      </c>
      <c r="Z923" s="137">
        <v>35349</v>
      </c>
      <c r="AA923" s="137">
        <f t="shared" si="186"/>
        <v>14651</v>
      </c>
      <c r="AB923" s="146">
        <f t="shared" si="197"/>
        <v>34655.882352941175</v>
      </c>
      <c r="AC923" s="147">
        <f t="shared" si="188"/>
        <v>693.11764705882524</v>
      </c>
      <c r="AD923" s="137">
        <v>35349</v>
      </c>
      <c r="AE923" s="138">
        <v>0.1</v>
      </c>
      <c r="AF923" s="137">
        <f t="shared" si="180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hidden="1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940</v>
      </c>
      <c r="G924" s="119" t="s">
        <v>940</v>
      </c>
      <c r="H924" s="119" t="s">
        <v>940</v>
      </c>
      <c r="I924" s="119" t="s">
        <v>168</v>
      </c>
      <c r="J924" s="119" t="s">
        <v>861</v>
      </c>
      <c r="K924" s="119" t="s">
        <v>862</v>
      </c>
      <c r="L924" s="119" t="s">
        <v>940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4"/>
        <v>7770</v>
      </c>
      <c r="U924" s="137">
        <f t="shared" si="189"/>
        <v>396270</v>
      </c>
      <c r="V924" s="137">
        <v>347049</v>
      </c>
      <c r="W924" s="137">
        <f t="shared" si="190"/>
        <v>49221</v>
      </c>
      <c r="X924" s="137">
        <f t="shared" si="185"/>
        <v>48255.882352941175</v>
      </c>
      <c r="Y924" s="137">
        <f t="shared" si="191"/>
        <v>965.11764705882524</v>
      </c>
      <c r="Z924" s="137">
        <v>256562</v>
      </c>
      <c r="AA924" s="137">
        <f t="shared" si="186"/>
        <v>90487</v>
      </c>
      <c r="AB924" s="146">
        <f t="shared" si="197"/>
        <v>251531.37254901961</v>
      </c>
      <c r="AC924" s="147">
        <f t="shared" si="188"/>
        <v>5030.6274509803916</v>
      </c>
      <c r="AD924" s="137">
        <f>Z924*0.972201473425119-Q924</f>
        <v>249429.95442489538</v>
      </c>
      <c r="AE924" s="138">
        <v>0.1</v>
      </c>
      <c r="AF924" s="137">
        <f t="shared" si="180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hidden="1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940</v>
      </c>
      <c r="G925" s="119" t="s">
        <v>940</v>
      </c>
      <c r="H925" s="119" t="s">
        <v>940</v>
      </c>
      <c r="I925" s="119" t="s">
        <v>168</v>
      </c>
      <c r="J925" s="119" t="s">
        <v>861</v>
      </c>
      <c r="K925" s="119" t="s">
        <v>862</v>
      </c>
      <c r="L925" s="119" t="s">
        <v>940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4"/>
        <v>400</v>
      </c>
      <c r="U925" s="137">
        <f t="shared" si="189"/>
        <v>10400</v>
      </c>
      <c r="V925" s="137">
        <v>10000</v>
      </c>
      <c r="W925" s="137">
        <f t="shared" si="190"/>
        <v>400</v>
      </c>
      <c r="X925" s="137">
        <f t="shared" si="185"/>
        <v>384.61538461538458</v>
      </c>
      <c r="Y925" s="137">
        <f t="shared" si="191"/>
        <v>15.384615384615415</v>
      </c>
      <c r="Z925" s="137">
        <v>7961.2</v>
      </c>
      <c r="AA925" s="137">
        <f t="shared" si="186"/>
        <v>2038.8000000000002</v>
      </c>
      <c r="AB925" s="146">
        <f t="shared" si="197"/>
        <v>7655</v>
      </c>
      <c r="AC925" s="147">
        <f t="shared" si="188"/>
        <v>306.19999999999982</v>
      </c>
      <c r="AD925" s="137">
        <f>Z925</f>
        <v>7961.2</v>
      </c>
      <c r="AE925" s="138">
        <v>0.1</v>
      </c>
      <c r="AF925" s="137">
        <f t="shared" si="180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hidden="1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940</v>
      </c>
      <c r="G926" s="119" t="s">
        <v>940</v>
      </c>
      <c r="H926" s="119" t="s">
        <v>940</v>
      </c>
      <c r="I926" s="119" t="s">
        <v>168</v>
      </c>
      <c r="J926" s="119" t="s">
        <v>861</v>
      </c>
      <c r="K926" s="119" t="s">
        <v>862</v>
      </c>
      <c r="L926" s="119" t="s">
        <v>940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4"/>
        <v>0</v>
      </c>
      <c r="U926" s="137">
        <f t="shared" si="189"/>
        <v>55130</v>
      </c>
      <c r="V926" s="137">
        <v>55130</v>
      </c>
      <c r="W926" s="137">
        <f t="shared" si="190"/>
        <v>0</v>
      </c>
      <c r="X926" s="137">
        <f t="shared" si="185"/>
        <v>0</v>
      </c>
      <c r="Y926" s="137">
        <f t="shared" si="191"/>
        <v>0</v>
      </c>
      <c r="Z926" s="137">
        <v>55130</v>
      </c>
      <c r="AA926" s="137">
        <f t="shared" si="186"/>
        <v>0</v>
      </c>
      <c r="AB926" s="146">
        <f t="shared" si="197"/>
        <v>55130</v>
      </c>
      <c r="AC926" s="147">
        <f t="shared" si="188"/>
        <v>0</v>
      </c>
      <c r="AD926" s="137">
        <f>Z926</f>
        <v>55130</v>
      </c>
      <c r="AE926" s="138">
        <v>0</v>
      </c>
      <c r="AF926" s="137">
        <f t="shared" si="180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hidden="1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941</v>
      </c>
      <c r="G927" s="119" t="s">
        <v>941</v>
      </c>
      <c r="H927" s="119" t="s">
        <v>941</v>
      </c>
      <c r="I927" s="119" t="s">
        <v>168</v>
      </c>
      <c r="J927" s="119" t="s">
        <v>169</v>
      </c>
      <c r="K927" s="119" t="s">
        <v>170</v>
      </c>
      <c r="L927" s="119" t="s">
        <v>941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4"/>
        <v>0</v>
      </c>
      <c r="U927" s="137">
        <f t="shared" si="189"/>
        <v>261020</v>
      </c>
      <c r="V927" s="137">
        <v>261020</v>
      </c>
      <c r="W927" s="137">
        <f t="shared" si="190"/>
        <v>0</v>
      </c>
      <c r="X927" s="137">
        <f t="shared" si="185"/>
        <v>0</v>
      </c>
      <c r="Y927" s="137">
        <f t="shared" si="191"/>
        <v>0</v>
      </c>
      <c r="Z927" s="137">
        <v>261020</v>
      </c>
      <c r="AA927" s="137">
        <f t="shared" si="186"/>
        <v>0</v>
      </c>
      <c r="AB927" s="146">
        <f t="shared" si="197"/>
        <v>261020</v>
      </c>
      <c r="AC927" s="147">
        <f t="shared" si="188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80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942</v>
      </c>
      <c r="G928" s="119" t="s">
        <v>943</v>
      </c>
      <c r="H928" s="119" t="s">
        <v>943</v>
      </c>
      <c r="I928" s="119" t="s">
        <v>168</v>
      </c>
      <c r="J928" s="119" t="s">
        <v>861</v>
      </c>
      <c r="K928" s="119" t="s">
        <v>862</v>
      </c>
      <c r="L928" s="119" t="s">
        <v>942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4"/>
        <v>400</v>
      </c>
      <c r="U928" s="137">
        <f t="shared" si="189"/>
        <v>20400</v>
      </c>
      <c r="V928" s="137">
        <v>4392.5</v>
      </c>
      <c r="W928" s="137">
        <f t="shared" si="190"/>
        <v>16007.5</v>
      </c>
      <c r="X928" s="137">
        <f t="shared" si="185"/>
        <v>15693.627450980392</v>
      </c>
      <c r="Y928" s="137">
        <f t="shared" si="191"/>
        <v>313.87254901960841</v>
      </c>
      <c r="Z928" s="137">
        <v>4392.5</v>
      </c>
      <c r="AA928" s="137">
        <f t="shared" si="186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8"/>
        <v>4792.0098039215682</v>
      </c>
      <c r="AD928" s="137">
        <f>Z928*0.972201473425119-Q928</f>
        <v>-529.60502798016478</v>
      </c>
      <c r="AE928" s="138">
        <v>0.1</v>
      </c>
      <c r="AF928" s="137">
        <f t="shared" si="180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hidden="1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701</v>
      </c>
      <c r="G929" s="119" t="s">
        <v>701</v>
      </c>
      <c r="H929" s="119" t="s">
        <v>701</v>
      </c>
      <c r="I929" s="119" t="s">
        <v>168</v>
      </c>
      <c r="J929" s="119" t="s">
        <v>169</v>
      </c>
      <c r="K929" s="119" t="s">
        <v>170</v>
      </c>
      <c r="L929" s="119" t="s">
        <v>702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4"/>
        <v>0</v>
      </c>
      <c r="U929" s="137">
        <f t="shared" si="189"/>
        <v>65000</v>
      </c>
      <c r="V929" s="137">
        <v>39945.699999999997</v>
      </c>
      <c r="W929" s="137">
        <f t="shared" si="190"/>
        <v>25054.300000000003</v>
      </c>
      <c r="X929" s="137">
        <f t="shared" si="185"/>
        <v>25054.300000000003</v>
      </c>
      <c r="Y929" s="137">
        <f t="shared" si="191"/>
        <v>0</v>
      </c>
      <c r="Z929" s="137">
        <v>39945.699999999997</v>
      </c>
      <c r="AA929" s="137">
        <f t="shared" si="186"/>
        <v>0</v>
      </c>
      <c r="AB929" s="146">
        <f t="shared" ref="AB929:AB953" si="198">IF(O929="返货",Z929/(1+N929),IF(O929="返现",Z929,IF(O929="折扣",Z929*N929,IF(O929="无",Z929))))</f>
        <v>39945.699999999997</v>
      </c>
      <c r="AC929" s="147">
        <f t="shared" si="188"/>
        <v>0</v>
      </c>
      <c r="AD929" s="137">
        <f>(Z929-Q929)*0.91072157793815</f>
        <v>36379.410935843953</v>
      </c>
      <c r="AE929" s="138">
        <v>0.11269173273981201</v>
      </c>
      <c r="AF929" s="137">
        <f t="shared" si="180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944</v>
      </c>
      <c r="G930" s="119" t="s">
        <v>945</v>
      </c>
      <c r="H930" s="119" t="s">
        <v>945</v>
      </c>
      <c r="I930" s="119" t="s">
        <v>168</v>
      </c>
      <c r="J930" s="119" t="s">
        <v>169</v>
      </c>
      <c r="K930" s="119" t="s">
        <v>170</v>
      </c>
      <c r="L930" s="119" t="s">
        <v>946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4"/>
        <v>210639.95480000001</v>
      </c>
      <c r="U930" s="137">
        <f t="shared" si="189"/>
        <v>5476638.8248000005</v>
      </c>
      <c r="V930" s="137">
        <v>5570648.4800000004</v>
      </c>
      <c r="W930" s="137">
        <f t="shared" si="190"/>
        <v>-94009.655199999921</v>
      </c>
      <c r="X930" s="137">
        <f t="shared" si="185"/>
        <v>-90393.899230769151</v>
      </c>
      <c r="Y930" s="137">
        <f t="shared" si="191"/>
        <v>-3615.7559692307696</v>
      </c>
      <c r="Z930" s="137">
        <v>5591306.0999999996</v>
      </c>
      <c r="AA930" s="137">
        <f t="shared" si="186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8"/>
        <v>453566.25384615362</v>
      </c>
      <c r="AD930" s="137">
        <f t="shared" ref="AD930:AD931" si="199">(Z930-Q930)*0.89807640489087</f>
        <v>4798646.247510355</v>
      </c>
      <c r="AE930" s="138">
        <v>0.11269173273981201</v>
      </c>
      <c r="AF930" s="137">
        <f t="shared" si="180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hidden="1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947</v>
      </c>
      <c r="G931" s="119" t="s">
        <v>947</v>
      </c>
      <c r="H931" s="119" t="s">
        <v>947</v>
      </c>
      <c r="I931" s="119" t="s">
        <v>168</v>
      </c>
      <c r="J931" s="119" t="s">
        <v>169</v>
      </c>
      <c r="K931" s="119" t="s">
        <v>170</v>
      </c>
      <c r="L931" s="119" t="s">
        <v>948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4"/>
        <v>300</v>
      </c>
      <c r="U931" s="137">
        <f t="shared" si="189"/>
        <v>10300</v>
      </c>
      <c r="V931" s="137">
        <v>10300</v>
      </c>
      <c r="W931" s="137">
        <f t="shared" si="190"/>
        <v>0</v>
      </c>
      <c r="X931" s="137">
        <f t="shared" si="185"/>
        <v>0</v>
      </c>
      <c r="Y931" s="137">
        <f t="shared" si="191"/>
        <v>0</v>
      </c>
      <c r="Z931" s="137">
        <v>10299.1</v>
      </c>
      <c r="AA931" s="137">
        <f t="shared" si="186"/>
        <v>0.8999999999996362</v>
      </c>
      <c r="AB931" s="146">
        <f t="shared" si="198"/>
        <v>9999.1262135922334</v>
      </c>
      <c r="AC931" s="147">
        <f t="shared" si="188"/>
        <v>299.97378640776697</v>
      </c>
      <c r="AD931" s="137">
        <f t="shared" si="199"/>
        <v>9249.3787016115602</v>
      </c>
      <c r="AE931" s="138">
        <v>0.11269173273981201</v>
      </c>
      <c r="AF931" s="137">
        <f t="shared" si="180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570</v>
      </c>
      <c r="G932" s="131" t="s">
        <v>571</v>
      </c>
      <c r="H932" s="131" t="s">
        <v>571</v>
      </c>
      <c r="I932" s="119" t="s">
        <v>168</v>
      </c>
      <c r="J932" s="119" t="s">
        <v>169</v>
      </c>
      <c r="K932" s="119" t="s">
        <v>170</v>
      </c>
      <c r="L932" s="119" t="s">
        <v>949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4"/>
        <v>0</v>
      </c>
      <c r="U932" s="137">
        <f t="shared" si="189"/>
        <v>0</v>
      </c>
      <c r="V932" s="137">
        <v>0</v>
      </c>
      <c r="W932" s="137">
        <f t="shared" si="190"/>
        <v>0</v>
      </c>
      <c r="X932" s="137">
        <f t="shared" si="185"/>
        <v>0</v>
      </c>
      <c r="Y932" s="137">
        <f t="shared" si="191"/>
        <v>0</v>
      </c>
      <c r="Z932" s="137">
        <v>19729.2</v>
      </c>
      <c r="AA932" s="137">
        <f t="shared" si="186"/>
        <v>-19729.2</v>
      </c>
      <c r="AB932" s="146">
        <f t="shared" si="198"/>
        <v>18267.777777777777</v>
      </c>
      <c r="AC932" s="147">
        <f t="shared" si="188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80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hidden="1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437</v>
      </c>
      <c r="Q933" s="137">
        <v>0</v>
      </c>
      <c r="R933" s="137">
        <v>0</v>
      </c>
      <c r="S933" s="137">
        <v>4130000</v>
      </c>
      <c r="T933" s="137">
        <f t="shared" si="184"/>
        <v>123900</v>
      </c>
      <c r="U933" s="137">
        <f t="shared" si="189"/>
        <v>4253900</v>
      </c>
      <c r="V933" s="137">
        <v>3950000</v>
      </c>
      <c r="W933" s="137">
        <f t="shared" si="190"/>
        <v>303900</v>
      </c>
      <c r="X933" s="137">
        <f t="shared" si="185"/>
        <v>295048.54368932039</v>
      </c>
      <c r="Y933" s="137">
        <f t="shared" si="191"/>
        <v>8851.4563106796122</v>
      </c>
      <c r="Z933" s="137">
        <f>3867353.4-Z1162</f>
        <v>2047853.4</v>
      </c>
      <c r="AA933" s="137">
        <f t="shared" si="186"/>
        <v>1902146.6</v>
      </c>
      <c r="AB933" s="146">
        <f t="shared" si="198"/>
        <v>1988207.1844660193</v>
      </c>
      <c r="AC933" s="147">
        <f t="shared" si="188"/>
        <v>59646.215533980634</v>
      </c>
      <c r="AD933" s="137">
        <f t="shared" ref="AD933:AD936" si="200">(Z933-Q933)*0.89807640489087</f>
        <v>1839128.8192155447</v>
      </c>
      <c r="AE933" s="138">
        <v>0.11269173273981201</v>
      </c>
      <c r="AF933" s="137">
        <f t="shared" si="180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hidden="1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950</v>
      </c>
      <c r="G934" s="119" t="s">
        <v>950</v>
      </c>
      <c r="H934" s="119" t="s">
        <v>950</v>
      </c>
      <c r="I934" s="119" t="s">
        <v>168</v>
      </c>
      <c r="J934" s="119" t="s">
        <v>169</v>
      </c>
      <c r="K934" s="119" t="s">
        <v>170</v>
      </c>
      <c r="L934" s="119" t="s">
        <v>950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4"/>
        <v>5250</v>
      </c>
      <c r="U934" s="137">
        <f t="shared" si="189"/>
        <v>110250</v>
      </c>
      <c r="V934" s="137">
        <v>108500</v>
      </c>
      <c r="W934" s="137">
        <f t="shared" si="190"/>
        <v>1750</v>
      </c>
      <c r="X934" s="137">
        <f t="shared" si="185"/>
        <v>1666.6666666666665</v>
      </c>
      <c r="Y934" s="137">
        <f t="shared" si="191"/>
        <v>83.333333333333485</v>
      </c>
      <c r="Z934" s="137">
        <v>97285.6</v>
      </c>
      <c r="AA934" s="137">
        <f t="shared" si="186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8"/>
        <v>2965.9809523809527</v>
      </c>
      <c r="AD934" s="137">
        <f t="shared" si="200"/>
        <v>87369.90189565123</v>
      </c>
      <c r="AE934" s="138">
        <v>0.11269173273981201</v>
      </c>
      <c r="AF934" s="137">
        <f t="shared" si="180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hidden="1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951</v>
      </c>
      <c r="G935" s="119" t="s">
        <v>951</v>
      </c>
      <c r="H935" s="119" t="s">
        <v>951</v>
      </c>
      <c r="I935" s="119" t="s">
        <v>168</v>
      </c>
      <c r="J935" s="119" t="s">
        <v>169</v>
      </c>
      <c r="K935" s="119" t="s">
        <v>170</v>
      </c>
      <c r="L935" s="119" t="s">
        <v>951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4"/>
        <v>400</v>
      </c>
      <c r="U935" s="137">
        <f t="shared" si="189"/>
        <v>20400</v>
      </c>
      <c r="V935" s="137">
        <v>20000</v>
      </c>
      <c r="W935" s="137">
        <f t="shared" si="190"/>
        <v>400</v>
      </c>
      <c r="X935" s="137">
        <f t="shared" si="185"/>
        <v>392.15686274509801</v>
      </c>
      <c r="Y935" s="137">
        <f t="shared" si="191"/>
        <v>7.8431372549019898</v>
      </c>
      <c r="Z935" s="137">
        <v>20001.3</v>
      </c>
      <c r="AA935" s="137">
        <f t="shared" si="186"/>
        <v>-1.2999999999992724</v>
      </c>
      <c r="AB935" s="146">
        <f t="shared" si="198"/>
        <v>19609.117647058822</v>
      </c>
      <c r="AC935" s="147">
        <f t="shared" si="188"/>
        <v>392.18235294117767</v>
      </c>
      <c r="AD935" s="137">
        <f t="shared" si="200"/>
        <v>17962.695597143756</v>
      </c>
      <c r="AE935" s="138">
        <v>0.11269173273981201</v>
      </c>
      <c r="AF935" s="137">
        <f t="shared" si="180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952</v>
      </c>
      <c r="G936" s="119" t="s">
        <v>952</v>
      </c>
      <c r="H936" s="119" t="s">
        <v>952</v>
      </c>
      <c r="I936" s="119" t="s">
        <v>168</v>
      </c>
      <c r="J936" s="119" t="s">
        <v>169</v>
      </c>
      <c r="K936" s="119" t="s">
        <v>170</v>
      </c>
      <c r="L936" s="119" t="s">
        <v>952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4"/>
        <v>0</v>
      </c>
      <c r="U936" s="137">
        <f t="shared" si="189"/>
        <v>445000</v>
      </c>
      <c r="V936" s="137">
        <v>449400</v>
      </c>
      <c r="W936" s="137">
        <f t="shared" si="190"/>
        <v>-4400</v>
      </c>
      <c r="X936" s="137">
        <f t="shared" si="185"/>
        <v>-4400</v>
      </c>
      <c r="Y936" s="137">
        <f t="shared" si="191"/>
        <v>0</v>
      </c>
      <c r="Z936" s="137">
        <v>450461</v>
      </c>
      <c r="AA936" s="137">
        <f t="shared" si="186"/>
        <v>-1061</v>
      </c>
      <c r="AB936" s="146">
        <f t="shared" si="198"/>
        <v>450461</v>
      </c>
      <c r="AC936" s="147">
        <f t="shared" si="188"/>
        <v>0</v>
      </c>
      <c r="AD936" s="137">
        <f t="shared" si="200"/>
        <v>404548.3954235462</v>
      </c>
      <c r="AE936" s="138">
        <v>0.11269173273981201</v>
      </c>
      <c r="AF936" s="137">
        <f t="shared" si="180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952</v>
      </c>
      <c r="G937" s="119" t="s">
        <v>952</v>
      </c>
      <c r="H937" s="119" t="s">
        <v>952</v>
      </c>
      <c r="I937" s="119" t="s">
        <v>168</v>
      </c>
      <c r="J937" s="119" t="s">
        <v>169</v>
      </c>
      <c r="K937" s="119" t="s">
        <v>170</v>
      </c>
      <c r="L937" s="119" t="s">
        <v>952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4"/>
        <v>0</v>
      </c>
      <c r="U937" s="137">
        <f t="shared" si="189"/>
        <v>5000</v>
      </c>
      <c r="V937" s="137">
        <v>5010.18</v>
      </c>
      <c r="W937" s="137">
        <f t="shared" si="190"/>
        <v>-10.180000000000291</v>
      </c>
      <c r="X937" s="137">
        <f t="shared" si="185"/>
        <v>-10.180000000000291</v>
      </c>
      <c r="Y937" s="137">
        <f t="shared" si="191"/>
        <v>0</v>
      </c>
      <c r="Z937" s="137">
        <v>1017.9</v>
      </c>
      <c r="AA937" s="137">
        <f t="shared" si="186"/>
        <v>3992.28</v>
      </c>
      <c r="AB937" s="146">
        <f t="shared" si="198"/>
        <v>1017.9</v>
      </c>
      <c r="AC937" s="147">
        <f t="shared" si="188"/>
        <v>0</v>
      </c>
      <c r="AD937" s="137">
        <f>(Z937-Q937)*0.91072157793815</f>
        <v>927.02349418324286</v>
      </c>
      <c r="AE937" s="138">
        <v>0.11269173273981201</v>
      </c>
      <c r="AF937" s="137">
        <f t="shared" si="180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hidden="1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953</v>
      </c>
      <c r="G938" s="119" t="s">
        <v>953</v>
      </c>
      <c r="H938" s="119" t="s">
        <v>953</v>
      </c>
      <c r="I938" s="119" t="s">
        <v>168</v>
      </c>
      <c r="J938" s="119" t="s">
        <v>169</v>
      </c>
      <c r="K938" s="119" t="s">
        <v>170</v>
      </c>
      <c r="L938" s="119" t="s">
        <v>954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4"/>
        <v>200</v>
      </c>
      <c r="U938" s="137">
        <f t="shared" si="189"/>
        <v>10200</v>
      </c>
      <c r="V938" s="137">
        <v>0</v>
      </c>
      <c r="W938" s="137">
        <f t="shared" si="190"/>
        <v>10200</v>
      </c>
      <c r="X938" s="137">
        <f t="shared" si="185"/>
        <v>10000</v>
      </c>
      <c r="Y938" s="137">
        <f t="shared" si="191"/>
        <v>200</v>
      </c>
      <c r="Z938" s="137">
        <v>0</v>
      </c>
      <c r="AA938" s="137">
        <f t="shared" si="186"/>
        <v>0</v>
      </c>
      <c r="AB938" s="146">
        <f t="shared" si="198"/>
        <v>0</v>
      </c>
      <c r="AC938" s="147">
        <f t="shared" si="188"/>
        <v>0</v>
      </c>
      <c r="AD938" s="137">
        <f t="shared" ref="AD938:AD939" si="201">(Z938-Q938)*0.89807640489087</f>
        <v>0</v>
      </c>
      <c r="AE938" s="138">
        <v>0.11269173273981201</v>
      </c>
      <c r="AF938" s="137">
        <f t="shared" si="180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955</v>
      </c>
      <c r="G939" s="119" t="s">
        <v>955</v>
      </c>
      <c r="H939" s="119" t="s">
        <v>955</v>
      </c>
      <c r="I939" s="119" t="s">
        <v>168</v>
      </c>
      <c r="J939" s="119" t="s">
        <v>169</v>
      </c>
      <c r="K939" s="119" t="s">
        <v>170</v>
      </c>
      <c r="L939" s="119" t="s">
        <v>952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4"/>
        <v>400</v>
      </c>
      <c r="U939" s="137">
        <f t="shared" si="189"/>
        <v>40400</v>
      </c>
      <c r="V939" s="137">
        <v>40400</v>
      </c>
      <c r="W939" s="137">
        <f t="shared" si="190"/>
        <v>0</v>
      </c>
      <c r="X939" s="137">
        <f t="shared" si="185"/>
        <v>0</v>
      </c>
      <c r="Y939" s="137">
        <f t="shared" si="191"/>
        <v>0</v>
      </c>
      <c r="Z939" s="137">
        <f>475074.9-Z936</f>
        <v>24613.900000000023</v>
      </c>
      <c r="AA939" s="137">
        <f t="shared" si="186"/>
        <v>15786.099999999977</v>
      </c>
      <c r="AB939" s="146">
        <f t="shared" si="198"/>
        <v>24370.198019802003</v>
      </c>
      <c r="AC939" s="147">
        <f t="shared" si="188"/>
        <v>243.70198019802046</v>
      </c>
      <c r="AD939" s="137">
        <f t="shared" si="201"/>
        <v>22105.162822343405</v>
      </c>
      <c r="AE939" s="138">
        <v>0.11269173273981201</v>
      </c>
      <c r="AF939" s="137">
        <f t="shared" si="180"/>
        <v>2491.0691009455513</v>
      </c>
      <c r="AG939" s="137">
        <v>37801.103292841697</v>
      </c>
      <c r="AH939" s="154"/>
      <c r="AI939" s="154"/>
      <c r="AJ939" s="135" t="s">
        <v>956</v>
      </c>
      <c r="AK939" s="119" t="s">
        <v>956</v>
      </c>
    </row>
    <row r="940" spans="1:39" s="119" customFormat="1" ht="15" hidden="1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904</v>
      </c>
      <c r="G940" s="119" t="s">
        <v>904</v>
      </c>
      <c r="H940" s="119" t="s">
        <v>904</v>
      </c>
      <c r="I940" s="119" t="s">
        <v>168</v>
      </c>
      <c r="J940" s="119" t="s">
        <v>861</v>
      </c>
      <c r="K940" s="119" t="s">
        <v>862</v>
      </c>
      <c r="L940" s="119" t="s">
        <v>957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4"/>
        <v>1428.5715</v>
      </c>
      <c r="U940" s="137">
        <f t="shared" si="189"/>
        <v>30000.001499999998</v>
      </c>
      <c r="V940" s="137">
        <v>30000.001499999998</v>
      </c>
      <c r="W940" s="137">
        <f t="shared" si="190"/>
        <v>0</v>
      </c>
      <c r="X940" s="137">
        <f t="shared" si="185"/>
        <v>0</v>
      </c>
      <c r="Y940" s="137">
        <f t="shared" si="191"/>
        <v>0</v>
      </c>
      <c r="Z940" s="137">
        <v>21245.5</v>
      </c>
      <c r="AA940" s="137">
        <f t="shared" si="186"/>
        <v>8754.5014999999985</v>
      </c>
      <c r="AB940" s="146">
        <f t="shared" si="198"/>
        <v>20233.809523809523</v>
      </c>
      <c r="AC940" s="147">
        <f t="shared" si="188"/>
        <v>1011.6904761904771</v>
      </c>
      <c r="AD940" s="137">
        <f>Z940*0.972201473425119-Q940</f>
        <v>20654.906403653364</v>
      </c>
      <c r="AE940" s="138">
        <v>0.1</v>
      </c>
      <c r="AF940" s="137">
        <f t="shared" si="180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hidden="1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4"/>
        <v>0</v>
      </c>
      <c r="U941" s="137">
        <f t="shared" si="189"/>
        <v>4000</v>
      </c>
      <c r="V941" s="137">
        <v>0</v>
      </c>
      <c r="W941" s="137">
        <f t="shared" si="190"/>
        <v>4000</v>
      </c>
      <c r="X941" s="137">
        <f t="shared" si="185"/>
        <v>4000</v>
      </c>
      <c r="Y941" s="137">
        <f t="shared" si="191"/>
        <v>0</v>
      </c>
      <c r="Z941" s="137">
        <v>0</v>
      </c>
      <c r="AA941" s="137">
        <f t="shared" si="186"/>
        <v>0</v>
      </c>
      <c r="AB941" s="146">
        <f t="shared" si="198"/>
        <v>0</v>
      </c>
      <c r="AC941" s="147">
        <f t="shared" si="188"/>
        <v>0</v>
      </c>
      <c r="AD941" s="137">
        <f>(Z941-Q941)*0.91072157793815</f>
        <v>0</v>
      </c>
      <c r="AE941" s="138">
        <v>0.11269173273981201</v>
      </c>
      <c r="AF941" s="137">
        <f t="shared" si="180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hidden="1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454</v>
      </c>
      <c r="G942" s="119" t="s">
        <v>958</v>
      </c>
      <c r="H942" s="119" t="s">
        <v>958</v>
      </c>
      <c r="I942" s="119" t="s">
        <v>168</v>
      </c>
      <c r="J942" s="119" t="s">
        <v>169</v>
      </c>
      <c r="K942" s="119" t="s">
        <v>170</v>
      </c>
      <c r="L942" s="119" t="s">
        <v>454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4"/>
        <v>104100</v>
      </c>
      <c r="U942" s="137">
        <f t="shared" si="189"/>
        <v>5309100</v>
      </c>
      <c r="V942" s="137">
        <v>5275700</v>
      </c>
      <c r="W942" s="137">
        <f t="shared" si="190"/>
        <v>33400</v>
      </c>
      <c r="X942" s="137">
        <f t="shared" si="185"/>
        <v>32745.098039215685</v>
      </c>
      <c r="Y942" s="137">
        <f t="shared" si="191"/>
        <v>654.90196078431472</v>
      </c>
      <c r="Z942" s="137">
        <v>5195706.4000000004</v>
      </c>
      <c r="AA942" s="137">
        <f t="shared" si="186"/>
        <v>79993.599999999627</v>
      </c>
      <c r="AB942" s="146">
        <f>436800/1.04+(Z942-436800)/(1+N942)</f>
        <v>5085594.5098039219</v>
      </c>
      <c r="AC942" s="147">
        <f t="shared" si="188"/>
        <v>110111.89019607846</v>
      </c>
      <c r="AD942" s="137">
        <f t="shared" ref="AD942:AD946" si="202">(Z942-Q942)*0.89807640489087</f>
        <v>4666141.324580485</v>
      </c>
      <c r="AE942" s="138">
        <v>0.11269173273981201</v>
      </c>
      <c r="AF942" s="137">
        <f t="shared" si="180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hidden="1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959</v>
      </c>
      <c r="G943" s="119" t="s">
        <v>959</v>
      </c>
      <c r="H943" s="119" t="s">
        <v>959</v>
      </c>
      <c r="I943" s="119" t="s">
        <v>168</v>
      </c>
      <c r="J943" s="119" t="s">
        <v>169</v>
      </c>
      <c r="K943" s="119" t="s">
        <v>170</v>
      </c>
      <c r="L943" s="119" t="s">
        <v>1662</v>
      </c>
      <c r="M943" s="119" t="s">
        <v>45</v>
      </c>
      <c r="N943" s="136">
        <v>0.02</v>
      </c>
      <c r="O943" s="135" t="s">
        <v>50</v>
      </c>
      <c r="P943" s="135" t="s">
        <v>1663</v>
      </c>
      <c r="Q943" s="137">
        <v>632.79999999999995</v>
      </c>
      <c r="R943" s="137">
        <v>0</v>
      </c>
      <c r="S943" s="137">
        <v>618164</v>
      </c>
      <c r="T943" s="137">
        <f t="shared" si="184"/>
        <v>12363.28</v>
      </c>
      <c r="U943" s="137">
        <f t="shared" si="189"/>
        <v>630527.28</v>
      </c>
      <c r="V943" s="137">
        <v>630527</v>
      </c>
      <c r="W943" s="137">
        <f t="shared" si="190"/>
        <v>0.28000000002793968</v>
      </c>
      <c r="X943" s="137">
        <f t="shared" si="185"/>
        <v>0.27450980394896046</v>
      </c>
      <c r="Y943" s="137">
        <f t="shared" si="191"/>
        <v>5.4901960789792148E-3</v>
      </c>
      <c r="Z943" s="137">
        <v>467118</v>
      </c>
      <c r="AA943" s="137">
        <f t="shared" si="186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8"/>
        <v>9779.5686274510226</v>
      </c>
      <c r="AD943" s="137">
        <f t="shared" si="202"/>
        <v>418939.3513507985</v>
      </c>
      <c r="AE943" s="138">
        <v>0.11269173273981201</v>
      </c>
      <c r="AF943" s="137">
        <f t="shared" ref="AF943:AF1006" si="203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hidden="1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711</v>
      </c>
      <c r="G944" s="119" t="s">
        <v>711</v>
      </c>
      <c r="H944" s="119" t="s">
        <v>711</v>
      </c>
      <c r="I944" s="119" t="s">
        <v>168</v>
      </c>
      <c r="J944" s="119" t="s">
        <v>169</v>
      </c>
      <c r="K944" s="119" t="s">
        <v>170</v>
      </c>
      <c r="L944" s="119" t="s">
        <v>711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4"/>
        <v>4000</v>
      </c>
      <c r="U944" s="137">
        <f t="shared" si="189"/>
        <v>84000</v>
      </c>
      <c r="V944" s="137">
        <v>60000</v>
      </c>
      <c r="W944" s="137">
        <f t="shared" si="190"/>
        <v>24000</v>
      </c>
      <c r="X944" s="137">
        <f t="shared" si="185"/>
        <v>22857.142857142855</v>
      </c>
      <c r="Y944" s="137">
        <f t="shared" si="191"/>
        <v>1142.8571428571449</v>
      </c>
      <c r="Z944" s="137">
        <v>49988.6</v>
      </c>
      <c r="AA944" s="137">
        <f t="shared" si="186"/>
        <v>10011.400000000001</v>
      </c>
      <c r="AB944" s="146">
        <f t="shared" si="198"/>
        <v>47608.190476190473</v>
      </c>
      <c r="AC944" s="147">
        <f t="shared" si="188"/>
        <v>2380.4095238095251</v>
      </c>
      <c r="AD944" s="137">
        <f t="shared" si="202"/>
        <v>44893.582173527742</v>
      </c>
      <c r="AE944" s="138">
        <v>0.11269173273981201</v>
      </c>
      <c r="AF944" s="137">
        <f t="shared" si="203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hidden="1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671</v>
      </c>
      <c r="G945" s="119" t="s">
        <v>960</v>
      </c>
      <c r="H945" s="119" t="s">
        <v>960</v>
      </c>
      <c r="I945" s="119" t="s">
        <v>168</v>
      </c>
      <c r="J945" s="119" t="s">
        <v>169</v>
      </c>
      <c r="K945" s="119" t="s">
        <v>170</v>
      </c>
      <c r="L945" s="119" t="s">
        <v>671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4"/>
        <v>6000</v>
      </c>
      <c r="U945" s="137">
        <f t="shared" si="189"/>
        <v>156000</v>
      </c>
      <c r="V945" s="137">
        <v>154000</v>
      </c>
      <c r="W945" s="137">
        <f t="shared" si="190"/>
        <v>2000</v>
      </c>
      <c r="X945" s="137">
        <f t="shared" si="185"/>
        <v>1923.0769230769231</v>
      </c>
      <c r="Y945" s="137">
        <f t="shared" si="191"/>
        <v>76.923076923076906</v>
      </c>
      <c r="Z945" s="137">
        <v>3237849.8</v>
      </c>
      <c r="AA945" s="137">
        <f t="shared" si="186"/>
        <v>-3083849.8</v>
      </c>
      <c r="AB945" s="146">
        <f t="shared" si="198"/>
        <v>3113317.115384615</v>
      </c>
      <c r="AC945" s="147">
        <f t="shared" si="188"/>
        <v>124532.68461538479</v>
      </c>
      <c r="AD945" s="137">
        <f t="shared" si="202"/>
        <v>2907836.5079606222</v>
      </c>
      <c r="AE945" s="138">
        <v>0.11269173273981201</v>
      </c>
      <c r="AF945" s="137">
        <f t="shared" si="203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hidden="1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461</v>
      </c>
      <c r="G946" s="119" t="s">
        <v>461</v>
      </c>
      <c r="H946" s="119" t="s">
        <v>461</v>
      </c>
      <c r="I946" s="119" t="s">
        <v>168</v>
      </c>
      <c r="J946" s="119" t="s">
        <v>169</v>
      </c>
      <c r="K946" s="119" t="s">
        <v>170</v>
      </c>
      <c r="L946" s="119" t="s">
        <v>461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4"/>
        <v>38000</v>
      </c>
      <c r="U946" s="137">
        <f t="shared" si="189"/>
        <v>988000</v>
      </c>
      <c r="V946" s="137">
        <v>996400</v>
      </c>
      <c r="W946" s="137">
        <f t="shared" si="190"/>
        <v>-8400</v>
      </c>
      <c r="X946" s="137">
        <f t="shared" si="185"/>
        <v>-8076.9230769230762</v>
      </c>
      <c r="Y946" s="137">
        <f t="shared" si="191"/>
        <v>-323.07692307692378</v>
      </c>
      <c r="Z946" s="137">
        <v>908062</v>
      </c>
      <c r="AA946" s="137">
        <f t="shared" si="186"/>
        <v>88338</v>
      </c>
      <c r="AB946" s="146">
        <f t="shared" si="198"/>
        <v>873136.53846153838</v>
      </c>
      <c r="AC946" s="147">
        <f t="shared" si="188"/>
        <v>34925.461538461619</v>
      </c>
      <c r="AD946" s="137">
        <f t="shared" si="202"/>
        <v>815509.05637801322</v>
      </c>
      <c r="AE946" s="138">
        <v>0.11269173273981201</v>
      </c>
      <c r="AF946" s="137">
        <f t="shared" si="203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hidden="1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861</v>
      </c>
      <c r="K947" s="119" t="s">
        <v>862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4"/>
        <v>0</v>
      </c>
      <c r="U947" s="137">
        <f t="shared" si="189"/>
        <v>10000</v>
      </c>
      <c r="V947" s="137">
        <v>10000</v>
      </c>
      <c r="W947" s="137">
        <f t="shared" si="190"/>
        <v>0</v>
      </c>
      <c r="X947" s="137">
        <f t="shared" si="185"/>
        <v>0</v>
      </c>
      <c r="Y947" s="137">
        <f t="shared" si="191"/>
        <v>0</v>
      </c>
      <c r="Z947" s="137">
        <v>10000.5</v>
      </c>
      <c r="AA947" s="137">
        <f t="shared" si="186"/>
        <v>-0.5</v>
      </c>
      <c r="AB947" s="146">
        <f t="shared" si="198"/>
        <v>10000.5</v>
      </c>
      <c r="AC947" s="147">
        <f t="shared" si="188"/>
        <v>0</v>
      </c>
      <c r="AD947" s="137">
        <f>Z947*0.972201473425119-Q947</f>
        <v>9722.5008349879026</v>
      </c>
      <c r="AE947" s="138">
        <v>0.1</v>
      </c>
      <c r="AF947" s="137">
        <f t="shared" si="203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hidden="1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1654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1653</v>
      </c>
      <c r="Q948" s="137">
        <v>0</v>
      </c>
      <c r="R948" s="137">
        <v>0</v>
      </c>
      <c r="S948" s="137">
        <v>51756</v>
      </c>
      <c r="T948" s="137">
        <f t="shared" si="184"/>
        <v>1035.1200000000001</v>
      </c>
      <c r="U948" s="137">
        <f t="shared" si="189"/>
        <v>52791.12</v>
      </c>
      <c r="V948" s="137">
        <v>52778.6</v>
      </c>
      <c r="W948" s="137">
        <f t="shared" si="190"/>
        <v>12.520000000004075</v>
      </c>
      <c r="X948" s="137">
        <f t="shared" si="185"/>
        <v>12.274509803925563</v>
      </c>
      <c r="Y948" s="137">
        <f t="shared" si="191"/>
        <v>0.24549019607851186</v>
      </c>
      <c r="Z948" s="137">
        <f>51259.9-73.6</f>
        <v>51186.3</v>
      </c>
      <c r="AA948" s="137">
        <f t="shared" si="186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8"/>
        <v>991.49294117646787</v>
      </c>
      <c r="AD948" s="137">
        <f t="shared" ref="AD948:AD949" si="204">(Z948-Q948)*0.89807640489087</f>
        <v>45969.208283665546</v>
      </c>
      <c r="AE948" s="138">
        <v>0.11269173273981201</v>
      </c>
      <c r="AF948" s="137">
        <f t="shared" si="203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hidden="1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718</v>
      </c>
      <c r="G949" s="119" t="s">
        <v>719</v>
      </c>
      <c r="H949" s="119" t="s">
        <v>719</v>
      </c>
      <c r="I949" s="119" t="s">
        <v>168</v>
      </c>
      <c r="J949" s="119" t="s">
        <v>169</v>
      </c>
      <c r="K949" s="119" t="s">
        <v>170</v>
      </c>
      <c r="L949" s="119" t="s">
        <v>827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4"/>
        <v>11250.466</v>
      </c>
      <c r="U949" s="137">
        <f t="shared" si="189"/>
        <v>573773.76600000006</v>
      </c>
      <c r="V949" s="137">
        <v>573773.77</v>
      </c>
      <c r="W949" s="137">
        <f t="shared" si="190"/>
        <v>-3.9999999571591616E-3</v>
      </c>
      <c r="X949" s="137">
        <f t="shared" si="185"/>
        <v>-3.9215685854501582E-3</v>
      </c>
      <c r="Y949" s="137">
        <f t="shared" si="191"/>
        <v>-7.8431371709003321E-5</v>
      </c>
      <c r="Z949" s="137">
        <v>524673.80000000005</v>
      </c>
      <c r="AA949" s="137">
        <f t="shared" si="186"/>
        <v>49099.969999999972</v>
      </c>
      <c r="AB949" s="146">
        <f t="shared" si="198"/>
        <v>514386.07843137259</v>
      </c>
      <c r="AC949" s="147">
        <f t="shared" si="188"/>
        <v>10287.721568627458</v>
      </c>
      <c r="AD949" s="137">
        <f t="shared" si="204"/>
        <v>471197.1600444314</v>
      </c>
      <c r="AE949" s="138">
        <v>0.11269173273981201</v>
      </c>
      <c r="AF949" s="137">
        <f t="shared" si="203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hidden="1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718</v>
      </c>
      <c r="G950" s="119" t="s">
        <v>719</v>
      </c>
      <c r="H950" s="119" t="s">
        <v>719</v>
      </c>
      <c r="I950" s="119" t="s">
        <v>168</v>
      </c>
      <c r="J950" s="119" t="s">
        <v>169</v>
      </c>
      <c r="K950" s="119" t="s">
        <v>170</v>
      </c>
      <c r="L950" s="119" t="s">
        <v>827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4"/>
        <v>299.06799999999998</v>
      </c>
      <c r="U950" s="137">
        <f t="shared" si="189"/>
        <v>7775.768</v>
      </c>
      <c r="V950" s="137">
        <v>7476.7</v>
      </c>
      <c r="W950" s="137">
        <f t="shared" si="190"/>
        <v>299.06800000000021</v>
      </c>
      <c r="X950" s="137">
        <f t="shared" si="185"/>
        <v>287.5653846153848</v>
      </c>
      <c r="Y950" s="137">
        <f t="shared" si="191"/>
        <v>11.50261538461541</v>
      </c>
      <c r="Z950" s="137">
        <v>7476.7</v>
      </c>
      <c r="AA950" s="137">
        <f t="shared" si="186"/>
        <v>0</v>
      </c>
      <c r="AB950" s="146">
        <f t="shared" si="198"/>
        <v>7189.1346153846152</v>
      </c>
      <c r="AC950" s="147">
        <f t="shared" si="188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3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hidden="1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465</v>
      </c>
      <c r="F951" s="119" t="s">
        <v>720</v>
      </c>
      <c r="G951" s="119" t="s">
        <v>720</v>
      </c>
      <c r="H951" s="119" t="s">
        <v>720</v>
      </c>
      <c r="I951" s="119" t="s">
        <v>168</v>
      </c>
      <c r="J951" s="119" t="s">
        <v>169</v>
      </c>
      <c r="K951" s="119" t="s">
        <v>170</v>
      </c>
      <c r="L951" s="119" t="s">
        <v>720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4"/>
        <v>160</v>
      </c>
      <c r="U951" s="137">
        <f t="shared" si="189"/>
        <v>8160</v>
      </c>
      <c r="V951" s="137">
        <v>8160</v>
      </c>
      <c r="W951" s="137">
        <f t="shared" si="190"/>
        <v>0</v>
      </c>
      <c r="X951" s="137">
        <f t="shared" si="185"/>
        <v>0</v>
      </c>
      <c r="Y951" s="137">
        <f t="shared" si="191"/>
        <v>0</v>
      </c>
      <c r="Z951" s="137">
        <v>8158.9</v>
      </c>
      <c r="AA951" s="137">
        <f t="shared" si="186"/>
        <v>1.1000000000003638</v>
      </c>
      <c r="AB951" s="146">
        <f t="shared" si="198"/>
        <v>7998.9215686274501</v>
      </c>
      <c r="AC951" s="147">
        <f t="shared" si="188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3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hidden="1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465</v>
      </c>
      <c r="F952" s="119" t="s">
        <v>720</v>
      </c>
      <c r="G952" s="119" t="s">
        <v>720</v>
      </c>
      <c r="H952" s="119" t="s">
        <v>720</v>
      </c>
      <c r="I952" s="119" t="s">
        <v>168</v>
      </c>
      <c r="J952" s="119" t="s">
        <v>169</v>
      </c>
      <c r="K952" s="119" t="s">
        <v>170</v>
      </c>
      <c r="L952" s="119" t="s">
        <v>720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4"/>
        <v>80</v>
      </c>
      <c r="U952" s="137">
        <f t="shared" si="189"/>
        <v>2080</v>
      </c>
      <c r="V952" s="137">
        <v>2080</v>
      </c>
      <c r="W952" s="137">
        <f t="shared" si="190"/>
        <v>0</v>
      </c>
      <c r="X952" s="137">
        <f t="shared" si="185"/>
        <v>0</v>
      </c>
      <c r="Y952" s="137">
        <f t="shared" si="191"/>
        <v>0</v>
      </c>
      <c r="Z952" s="137">
        <v>1673.5</v>
      </c>
      <c r="AA952" s="137">
        <f t="shared" si="186"/>
        <v>406.5</v>
      </c>
      <c r="AB952" s="146">
        <f t="shared" si="198"/>
        <v>1609.1346153846152</v>
      </c>
      <c r="AC952" s="147">
        <f t="shared" si="188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3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hidden="1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961</v>
      </c>
      <c r="G953" s="119" t="s">
        <v>962</v>
      </c>
      <c r="H953" s="119" t="s">
        <v>962</v>
      </c>
      <c r="I953" s="119" t="s">
        <v>168</v>
      </c>
      <c r="J953" s="119" t="s">
        <v>169</v>
      </c>
      <c r="K953" s="119" t="s">
        <v>170</v>
      </c>
      <c r="L953" s="119" t="s">
        <v>961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4"/>
        <v>1200</v>
      </c>
      <c r="U953" s="137">
        <f t="shared" si="189"/>
        <v>61200</v>
      </c>
      <c r="V953" s="137">
        <v>61200</v>
      </c>
      <c r="W953" s="137">
        <f t="shared" si="190"/>
        <v>0</v>
      </c>
      <c r="X953" s="137">
        <f t="shared" si="185"/>
        <v>0</v>
      </c>
      <c r="Y953" s="137">
        <f t="shared" si="191"/>
        <v>0</v>
      </c>
      <c r="Z953" s="137">
        <v>61199.3</v>
      </c>
      <c r="AA953" s="137">
        <f t="shared" si="186"/>
        <v>0.69999999999708962</v>
      </c>
      <c r="AB953" s="146">
        <f t="shared" si="198"/>
        <v>59999.313725490196</v>
      </c>
      <c r="AC953" s="147">
        <f t="shared" si="188"/>
        <v>1199.9862745098071</v>
      </c>
      <c r="AD953" s="137">
        <f t="shared" ref="AD953:AD954" si="205">(Z953-Q953)*0.89807640489087</f>
        <v>54961.647325837825</v>
      </c>
      <c r="AE953" s="138">
        <v>0.11269173273981201</v>
      </c>
      <c r="AF953" s="137">
        <f t="shared" si="203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568</v>
      </c>
      <c r="G954" s="119" t="s">
        <v>568</v>
      </c>
      <c r="H954" s="119" t="s">
        <v>568</v>
      </c>
      <c r="I954" s="119" t="s">
        <v>168</v>
      </c>
      <c r="J954" s="119" t="s">
        <v>169</v>
      </c>
      <c r="K954" s="119" t="s">
        <v>170</v>
      </c>
      <c r="L954" s="119" t="s">
        <v>568</v>
      </c>
      <c r="M954" s="119" t="s">
        <v>45</v>
      </c>
      <c r="N954" s="136">
        <v>0.02</v>
      </c>
      <c r="O954" s="135" t="s">
        <v>50</v>
      </c>
      <c r="P954" s="135"/>
      <c r="Q954" s="137">
        <v>212138.3</v>
      </c>
      <c r="R954" s="137">
        <v>0</v>
      </c>
      <c r="S954" s="137">
        <v>205904.7</v>
      </c>
      <c r="T954" s="137">
        <f t="shared" si="184"/>
        <v>4118.0940000000001</v>
      </c>
      <c r="U954" s="137">
        <f t="shared" si="189"/>
        <v>210022.79400000002</v>
      </c>
      <c r="V954" s="137">
        <v>80000</v>
      </c>
      <c r="W954" s="137">
        <f t="shared" si="190"/>
        <v>130022.79400000002</v>
      </c>
      <c r="X954" s="137">
        <f t="shared" si="185"/>
        <v>127473.32745098042</v>
      </c>
      <c r="Y954" s="137">
        <f t="shared" si="191"/>
        <v>2549.4665490196057</v>
      </c>
      <c r="Z954" s="137">
        <v>292138</v>
      </c>
      <c r="AA954" s="137">
        <f t="shared" si="186"/>
        <v>0.29999999998835847</v>
      </c>
      <c r="AB954" s="146">
        <f>IF(O954="返货",(Z954-Q954)/(1+N954),IF(O954="返现",(Z954-Q954),IF(O954="折扣",(Z954-Q954)*N954,IF(O954="无",(Z954-Q954)))))+127473.62</f>
        <v>205904.69843137256</v>
      </c>
      <c r="AC954" s="147">
        <f t="shared" si="188"/>
        <v>86233.301568627445</v>
      </c>
      <c r="AD954" s="137">
        <f t="shared" si="205"/>
        <v>71845.842968348152</v>
      </c>
      <c r="AE954" s="138">
        <v>0.11269173273981201</v>
      </c>
      <c r="AF954" s="137">
        <f t="shared" si="203"/>
        <v>8096.4325342555912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hidden="1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963</v>
      </c>
      <c r="G955" s="119" t="s">
        <v>963</v>
      </c>
      <c r="H955" s="119" t="s">
        <v>963</v>
      </c>
      <c r="I955" s="119" t="s">
        <v>168</v>
      </c>
      <c r="J955" s="119" t="s">
        <v>169</v>
      </c>
      <c r="K955" s="119" t="s">
        <v>170</v>
      </c>
      <c r="L955" s="119" t="s">
        <v>963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4"/>
        <v>1481.4816000000001</v>
      </c>
      <c r="U955" s="137">
        <f t="shared" si="189"/>
        <v>20000.0016</v>
      </c>
      <c r="V955" s="137">
        <v>20000</v>
      </c>
      <c r="W955" s="137">
        <f t="shared" si="190"/>
        <v>1.5999999995983671E-3</v>
      </c>
      <c r="X955" s="137">
        <f t="shared" si="185"/>
        <v>1.4814814811095992E-3</v>
      </c>
      <c r="Y955" s="137">
        <f t="shared" si="191"/>
        <v>1.1851851848876794E-4</v>
      </c>
      <c r="Z955" s="137">
        <v>0</v>
      </c>
      <c r="AA955" s="137">
        <f t="shared" si="186"/>
        <v>20000</v>
      </c>
      <c r="AB955" s="146">
        <f t="shared" ref="AB955:AB961" si="206">IF(O955="返货",Z955/(1+N955),IF(O955="返现",Z955,IF(O955="折扣",Z955*N955,IF(O955="无",Z955))))</f>
        <v>0</v>
      </c>
      <c r="AC955" s="147">
        <f t="shared" si="188"/>
        <v>0</v>
      </c>
      <c r="AD955" s="137">
        <f>(Z955-Q955)*0.91072157793815</f>
        <v>0</v>
      </c>
      <c r="AE955" s="138">
        <v>0.11269173273981201</v>
      </c>
      <c r="AF955" s="137">
        <f t="shared" si="203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37</v>
      </c>
      <c r="C956" s="119" t="s">
        <v>58</v>
      </c>
      <c r="D956" s="119" t="s">
        <v>723</v>
      </c>
      <c r="E956" s="119" t="s">
        <v>129</v>
      </c>
      <c r="F956" s="119" t="s">
        <v>727</v>
      </c>
      <c r="G956" s="119" t="s">
        <v>727</v>
      </c>
      <c r="H956" s="119" t="s">
        <v>727</v>
      </c>
      <c r="I956" s="119" t="s">
        <v>168</v>
      </c>
      <c r="J956" s="119" t="s">
        <v>169</v>
      </c>
      <c r="K956" s="119" t="s">
        <v>170</v>
      </c>
      <c r="L956" s="119" t="s">
        <v>727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4"/>
        <v>200</v>
      </c>
      <c r="U956" s="137">
        <f t="shared" si="189"/>
        <v>10200</v>
      </c>
      <c r="V956" s="137">
        <v>10000</v>
      </c>
      <c r="W956" s="137">
        <f t="shared" si="190"/>
        <v>200</v>
      </c>
      <c r="X956" s="137">
        <f t="shared" si="185"/>
        <v>196.07843137254901</v>
      </c>
      <c r="Y956" s="137">
        <f t="shared" si="191"/>
        <v>3.9215686274509949</v>
      </c>
      <c r="Z956" s="137">
        <v>6960.4</v>
      </c>
      <c r="AA956" s="137">
        <f t="shared" si="186"/>
        <v>3039.6000000000004</v>
      </c>
      <c r="AB956" s="146">
        <f t="shared" si="206"/>
        <v>6823.9215686274501</v>
      </c>
      <c r="AC956" s="147">
        <f t="shared" si="188"/>
        <v>136.47843137254949</v>
      </c>
      <c r="AD956" s="137">
        <f t="shared" ref="AD956:AD959" si="207">(Z956-Q956)*0.89807640489087</f>
        <v>6250.9710086024115</v>
      </c>
      <c r="AE956" s="138">
        <v>0.11269173273981201</v>
      </c>
      <c r="AF956" s="137">
        <f t="shared" si="203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hidden="1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964</v>
      </c>
      <c r="G957" s="119" t="s">
        <v>964</v>
      </c>
      <c r="H957" s="119" t="s">
        <v>964</v>
      </c>
      <c r="I957" s="119" t="s">
        <v>168</v>
      </c>
      <c r="J957" s="119" t="s">
        <v>169</v>
      </c>
      <c r="K957" s="119" t="s">
        <v>170</v>
      </c>
      <c r="L957" s="119" t="s">
        <v>964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4"/>
        <v>400</v>
      </c>
      <c r="U957" s="137">
        <f t="shared" si="189"/>
        <v>20400</v>
      </c>
      <c r="V957" s="137">
        <v>20400</v>
      </c>
      <c r="W957" s="137">
        <f t="shared" si="190"/>
        <v>0</v>
      </c>
      <c r="X957" s="137">
        <f t="shared" si="185"/>
        <v>0</v>
      </c>
      <c r="Y957" s="137">
        <f t="shared" si="191"/>
        <v>0</v>
      </c>
      <c r="Z957" s="137">
        <v>15652.6</v>
      </c>
      <c r="AA957" s="137">
        <f t="shared" si="186"/>
        <v>4747.3999999999996</v>
      </c>
      <c r="AB957" s="146">
        <f t="shared" si="206"/>
        <v>15345.686274509804</v>
      </c>
      <c r="AC957" s="147">
        <f t="shared" si="188"/>
        <v>306.91372549019616</v>
      </c>
      <c r="AD957" s="137">
        <f t="shared" si="207"/>
        <v>14057.230735194833</v>
      </c>
      <c r="AE957" s="138">
        <v>0.11269173273981201</v>
      </c>
      <c r="AF957" s="137">
        <f t="shared" si="203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hidden="1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965</v>
      </c>
      <c r="G958" s="119" t="s">
        <v>965</v>
      </c>
      <c r="H958" s="119" t="s">
        <v>965</v>
      </c>
      <c r="I958" s="119" t="s">
        <v>168</v>
      </c>
      <c r="J958" s="119" t="s">
        <v>169</v>
      </c>
      <c r="K958" s="119" t="s">
        <v>170</v>
      </c>
      <c r="L958" s="119" t="s">
        <v>965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4"/>
        <v>200</v>
      </c>
      <c r="U958" s="137">
        <f t="shared" si="189"/>
        <v>10200</v>
      </c>
      <c r="V958" s="137">
        <v>10200</v>
      </c>
      <c r="W958" s="137">
        <f t="shared" si="190"/>
        <v>0</v>
      </c>
      <c r="X958" s="137">
        <f t="shared" si="185"/>
        <v>0</v>
      </c>
      <c r="Y958" s="137">
        <f t="shared" si="191"/>
        <v>0</v>
      </c>
      <c r="Z958" s="137">
        <v>3631.4</v>
      </c>
      <c r="AA958" s="137">
        <f t="shared" si="186"/>
        <v>6568.6</v>
      </c>
      <c r="AB958" s="146">
        <f t="shared" si="206"/>
        <v>3560.1960784313724</v>
      </c>
      <c r="AC958" s="147">
        <f t="shared" si="188"/>
        <v>71.20392156862772</v>
      </c>
      <c r="AD958" s="137">
        <f t="shared" si="207"/>
        <v>3261.2746567207055</v>
      </c>
      <c r="AE958" s="138">
        <v>0.11269173273981201</v>
      </c>
      <c r="AF958" s="137">
        <f t="shared" si="203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hidden="1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468</v>
      </c>
      <c r="G959" s="119" t="s">
        <v>468</v>
      </c>
      <c r="H959" s="119" t="s">
        <v>468</v>
      </c>
      <c r="I959" s="119" t="s">
        <v>168</v>
      </c>
      <c r="J959" s="119" t="s">
        <v>169</v>
      </c>
      <c r="K959" s="119" t="s">
        <v>170</v>
      </c>
      <c r="L959" s="119" t="s">
        <v>468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4"/>
        <v>400</v>
      </c>
      <c r="U959" s="137">
        <f t="shared" si="189"/>
        <v>10400</v>
      </c>
      <c r="V959" s="137">
        <v>10620.6</v>
      </c>
      <c r="W959" s="137">
        <f t="shared" si="190"/>
        <v>-220.60000000000036</v>
      </c>
      <c r="X959" s="137">
        <f t="shared" si="185"/>
        <v>-212.11538461538495</v>
      </c>
      <c r="Y959" s="137">
        <f t="shared" si="191"/>
        <v>-8.4846153846154095</v>
      </c>
      <c r="Z959" s="137">
        <v>9051.1</v>
      </c>
      <c r="AA959" s="137">
        <f t="shared" si="186"/>
        <v>1569.5</v>
      </c>
      <c r="AB959" s="146">
        <f t="shared" si="206"/>
        <v>8702.9807692307695</v>
      </c>
      <c r="AC959" s="147">
        <f t="shared" si="188"/>
        <v>348.11923076923085</v>
      </c>
      <c r="AD959" s="137">
        <f t="shared" si="207"/>
        <v>8128.5793483077541</v>
      </c>
      <c r="AE959" s="138">
        <v>0.11269173273981201</v>
      </c>
      <c r="AF959" s="137">
        <f t="shared" si="203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hidden="1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966</v>
      </c>
      <c r="G960" s="119" t="s">
        <v>966</v>
      </c>
      <c r="H960" s="119" t="s">
        <v>966</v>
      </c>
      <c r="I960" s="119" t="s">
        <v>168</v>
      </c>
      <c r="J960" s="119" t="s">
        <v>600</v>
      </c>
      <c r="K960" s="119" t="s">
        <v>879</v>
      </c>
      <c r="L960" s="119" t="s">
        <v>966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4"/>
        <v>6600</v>
      </c>
      <c r="U960" s="137">
        <f t="shared" si="189"/>
        <v>336600</v>
      </c>
      <c r="V960" s="137">
        <v>280000</v>
      </c>
      <c r="W960" s="137">
        <f t="shared" si="190"/>
        <v>56600</v>
      </c>
      <c r="X960" s="137">
        <f t="shared" si="185"/>
        <v>55490.196078431371</v>
      </c>
      <c r="Y960" s="137">
        <f t="shared" si="191"/>
        <v>1109.8039215686294</v>
      </c>
      <c r="Z960" s="137">
        <v>281660.90000000002</v>
      </c>
      <c r="AA960" s="137">
        <f t="shared" si="186"/>
        <v>-1660.9000000000233</v>
      </c>
      <c r="AB960" s="146">
        <f t="shared" si="206"/>
        <v>276138.13725490199</v>
      </c>
      <c r="AC960" s="147">
        <f t="shared" si="188"/>
        <v>5522.7627450980362</v>
      </c>
      <c r="AD960" s="137">
        <v>281660.90000000002</v>
      </c>
      <c r="AE960" s="138">
        <v>0.1</v>
      </c>
      <c r="AF960" s="137">
        <f t="shared" si="203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hidden="1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967</v>
      </c>
      <c r="G961" s="119" t="s">
        <v>967</v>
      </c>
      <c r="H961" s="119" t="s">
        <v>967</v>
      </c>
      <c r="I961" s="119" t="s">
        <v>168</v>
      </c>
      <c r="J961" s="119" t="s">
        <v>169</v>
      </c>
      <c r="K961" s="119" t="s">
        <v>170</v>
      </c>
      <c r="L961" s="119" t="s">
        <v>967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4"/>
        <v>200</v>
      </c>
      <c r="U961" s="137">
        <f t="shared" si="189"/>
        <v>10200</v>
      </c>
      <c r="V961" s="137">
        <v>10000</v>
      </c>
      <c r="W961" s="137">
        <f t="shared" si="190"/>
        <v>200</v>
      </c>
      <c r="X961" s="137">
        <f t="shared" si="185"/>
        <v>196.07843137254901</v>
      </c>
      <c r="Y961" s="137">
        <f t="shared" si="191"/>
        <v>3.9215686274509949</v>
      </c>
      <c r="Z961" s="137">
        <v>9999.5</v>
      </c>
      <c r="AA961" s="137">
        <f t="shared" si="186"/>
        <v>0.5</v>
      </c>
      <c r="AB961" s="146">
        <f t="shared" si="206"/>
        <v>9803.4313725490192</v>
      </c>
      <c r="AC961" s="147">
        <f t="shared" si="188"/>
        <v>196.06862745098078</v>
      </c>
      <c r="AD961" s="137">
        <f t="shared" ref="AD961:AD963" si="208">(Z961-Q961)*0.89807640489087</f>
        <v>8980.3150107062556</v>
      </c>
      <c r="AE961" s="138">
        <v>0.11269173273981201</v>
      </c>
      <c r="AF961" s="137">
        <f t="shared" si="203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hidden="1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944</v>
      </c>
      <c r="G962" s="131" t="s">
        <v>945</v>
      </c>
      <c r="H962" s="131" t="s">
        <v>945</v>
      </c>
      <c r="I962" s="119" t="s">
        <v>168</v>
      </c>
      <c r="J962" s="119" t="s">
        <v>169</v>
      </c>
      <c r="K962" s="119" t="s">
        <v>170</v>
      </c>
      <c r="L962" s="119" t="s">
        <v>968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9">S962*N962</f>
        <v>0</v>
      </c>
      <c r="U962" s="137">
        <f t="shared" si="189"/>
        <v>0</v>
      </c>
      <c r="V962" s="137">
        <v>0</v>
      </c>
      <c r="W962" s="137">
        <f t="shared" si="190"/>
        <v>0</v>
      </c>
      <c r="X962" s="137">
        <f t="shared" ref="X962:X1025" si="210">W962/(1+N962)</f>
        <v>0</v>
      </c>
      <c r="Y962" s="137">
        <f t="shared" si="191"/>
        <v>0</v>
      </c>
      <c r="Z962" s="137">
        <v>222871.5</v>
      </c>
      <c r="AA962" s="137">
        <f t="shared" ref="AA962:AA1025" si="211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2">IF(O962="返现",Z962*N962,Z962-AB962)</f>
        <v>205102.88848082116</v>
      </c>
      <c r="AD962" s="137">
        <f t="shared" si="208"/>
        <v>16595.873583168508</v>
      </c>
      <c r="AE962" s="138">
        <v>0.11269173273981201</v>
      </c>
      <c r="AF962" s="137">
        <f t="shared" si="203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hidden="1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969</v>
      </c>
      <c r="F963" s="119" t="s">
        <v>469</v>
      </c>
      <c r="G963" s="119" t="s">
        <v>469</v>
      </c>
      <c r="H963" s="119" t="s">
        <v>469</v>
      </c>
      <c r="I963" s="119" t="s">
        <v>168</v>
      </c>
      <c r="J963" s="119" t="s">
        <v>169</v>
      </c>
      <c r="K963" s="119" t="s">
        <v>170</v>
      </c>
      <c r="L963" s="119" t="s">
        <v>469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9"/>
        <v>400</v>
      </c>
      <c r="U963" s="137">
        <f t="shared" ref="U963:U1026" si="213">R963+S963+T963</f>
        <v>10400</v>
      </c>
      <c r="V963" s="137">
        <v>9779.4</v>
      </c>
      <c r="W963" s="137">
        <f t="shared" ref="W963:W1026" si="214">U963-V963</f>
        <v>620.60000000000036</v>
      </c>
      <c r="X963" s="137">
        <f t="shared" si="210"/>
        <v>596.73076923076951</v>
      </c>
      <c r="Y963" s="137">
        <f t="shared" ref="Y963:Y1026" si="215">W963-X963</f>
        <v>23.869230769230853</v>
      </c>
      <c r="Z963" s="137">
        <v>9779.4</v>
      </c>
      <c r="AA963" s="137">
        <f t="shared" si="211"/>
        <v>0</v>
      </c>
      <c r="AB963" s="146">
        <f t="shared" ref="AB963:AB970" si="216">IF(O963="返货",Z963/(1+N963),IF(O963="返现",Z963,IF(O963="折扣",Z963*N963,IF(O963="无",Z963))))</f>
        <v>9403.2692307692305</v>
      </c>
      <c r="AC963" s="147">
        <f t="shared" si="212"/>
        <v>376.13076923076915</v>
      </c>
      <c r="AD963" s="137">
        <f t="shared" si="208"/>
        <v>8782.6483939897735</v>
      </c>
      <c r="AE963" s="138">
        <v>0.11269173273981201</v>
      </c>
      <c r="AF963" s="137">
        <f t="shared" si="203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hidden="1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970</v>
      </c>
      <c r="G964" s="119" t="s">
        <v>970</v>
      </c>
      <c r="H964" s="119" t="s">
        <v>970</v>
      </c>
      <c r="I964" s="119" t="s">
        <v>168</v>
      </c>
      <c r="J964" s="119" t="s">
        <v>861</v>
      </c>
      <c r="K964" s="119" t="s">
        <v>862</v>
      </c>
      <c r="L964" s="119" t="s">
        <v>970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9"/>
        <v>0</v>
      </c>
      <c r="U964" s="137">
        <f t="shared" si="213"/>
        <v>180000</v>
      </c>
      <c r="V964" s="137">
        <v>180600</v>
      </c>
      <c r="W964" s="137">
        <f t="shared" si="214"/>
        <v>-600</v>
      </c>
      <c r="X964" s="137">
        <f t="shared" si="210"/>
        <v>-600</v>
      </c>
      <c r="Y964" s="137">
        <f t="shared" si="215"/>
        <v>0</v>
      </c>
      <c r="Z964" s="137">
        <v>180594.2</v>
      </c>
      <c r="AA964" s="137">
        <f t="shared" si="211"/>
        <v>5.7999999999883585</v>
      </c>
      <c r="AB964" s="146">
        <f t="shared" si="216"/>
        <v>180594.2</v>
      </c>
      <c r="AC964" s="147">
        <f t="shared" si="212"/>
        <v>0</v>
      </c>
      <c r="AD964" s="137">
        <f>Z964*0.972201473425119-Q964</f>
        <v>175573.94733203063</v>
      </c>
      <c r="AE964" s="138">
        <v>0.1</v>
      </c>
      <c r="AF964" s="137">
        <f t="shared" si="203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971</v>
      </c>
      <c r="G965" s="119" t="s">
        <v>971</v>
      </c>
      <c r="H965" s="119" t="s">
        <v>971</v>
      </c>
      <c r="I965" s="119" t="s">
        <v>168</v>
      </c>
      <c r="J965" s="119" t="s">
        <v>169</v>
      </c>
      <c r="K965" s="119" t="s">
        <v>170</v>
      </c>
      <c r="L965" s="119" t="s">
        <v>971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9"/>
        <v>1239.7760000000001</v>
      </c>
      <c r="U965" s="137">
        <f t="shared" si="213"/>
        <v>32234.176000000003</v>
      </c>
      <c r="V965" s="137">
        <v>70000</v>
      </c>
      <c r="W965" s="137">
        <f t="shared" si="214"/>
        <v>-37765.823999999993</v>
      </c>
      <c r="X965" s="137">
        <f t="shared" si="210"/>
        <v>-36313.292307692303</v>
      </c>
      <c r="Y965" s="137">
        <f t="shared" si="215"/>
        <v>-1452.5316923076898</v>
      </c>
      <c r="Z965" s="137">
        <v>45404.7</v>
      </c>
      <c r="AA965" s="137">
        <f t="shared" si="211"/>
        <v>24595.300000000003</v>
      </c>
      <c r="AB965" s="146">
        <f t="shared" si="216"/>
        <v>43658.365384615383</v>
      </c>
      <c r="AC965" s="147">
        <f t="shared" si="212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3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966</v>
      </c>
      <c r="G966" s="119" t="s">
        <v>966</v>
      </c>
      <c r="H966" s="119" t="s">
        <v>966</v>
      </c>
      <c r="I966" s="119" t="s">
        <v>168</v>
      </c>
      <c r="J966" s="119" t="s">
        <v>861</v>
      </c>
      <c r="K966" s="119" t="s">
        <v>862</v>
      </c>
      <c r="L966" s="119" t="s">
        <v>966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9"/>
        <v>200</v>
      </c>
      <c r="U966" s="137">
        <f t="shared" si="213"/>
        <v>10200</v>
      </c>
      <c r="V966" s="137">
        <v>10200</v>
      </c>
      <c r="W966" s="137">
        <f t="shared" si="214"/>
        <v>0</v>
      </c>
      <c r="X966" s="137">
        <f t="shared" si="210"/>
        <v>0</v>
      </c>
      <c r="Y966" s="137">
        <f t="shared" si="215"/>
        <v>0</v>
      </c>
      <c r="Z966" s="137">
        <v>0</v>
      </c>
      <c r="AA966" s="137">
        <f t="shared" si="211"/>
        <v>10200</v>
      </c>
      <c r="AB966" s="146">
        <f t="shared" si="216"/>
        <v>0</v>
      </c>
      <c r="AC966" s="147">
        <f t="shared" si="212"/>
        <v>0</v>
      </c>
      <c r="AD966" s="137">
        <f>Z966*0.972201473425119-Q966</f>
        <v>0</v>
      </c>
      <c r="AE966" s="138">
        <v>0.1</v>
      </c>
      <c r="AF966" s="137">
        <f t="shared" si="203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hidden="1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744</v>
      </c>
      <c r="G967" s="119" t="s">
        <v>745</v>
      </c>
      <c r="H967" s="119" t="s">
        <v>745</v>
      </c>
      <c r="I967" s="119" t="s">
        <v>168</v>
      </c>
      <c r="J967" s="119" t="s">
        <v>169</v>
      </c>
      <c r="K967" s="119" t="s">
        <v>170</v>
      </c>
      <c r="L967" s="119" t="s">
        <v>744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9"/>
        <v>8800</v>
      </c>
      <c r="U967" s="137">
        <f t="shared" si="213"/>
        <v>448800</v>
      </c>
      <c r="V967" s="137">
        <v>448800</v>
      </c>
      <c r="W967" s="137">
        <f t="shared" si="214"/>
        <v>0</v>
      </c>
      <c r="X967" s="137">
        <f t="shared" si="210"/>
        <v>0</v>
      </c>
      <c r="Y967" s="137">
        <f t="shared" si="215"/>
        <v>0</v>
      </c>
      <c r="Z967" s="137">
        <v>448798.7</v>
      </c>
      <c r="AA967" s="137">
        <f t="shared" si="211"/>
        <v>1.2999999999883585</v>
      </c>
      <c r="AB967" s="146">
        <f t="shared" si="216"/>
        <v>439998.72549019608</v>
      </c>
      <c r="AC967" s="147">
        <f t="shared" si="212"/>
        <v>8799.9745098039275</v>
      </c>
      <c r="AD967" s="137">
        <f t="shared" ref="AD967:AD968" si="217">(Z967-Q967)*0.89807640489087</f>
        <v>403055.52301569615</v>
      </c>
      <c r="AE967" s="138">
        <v>0.11269173273981201</v>
      </c>
      <c r="AF967" s="137">
        <f t="shared" si="203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hidden="1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972</v>
      </c>
      <c r="G968" s="119" t="s">
        <v>972</v>
      </c>
      <c r="H968" s="119" t="s">
        <v>972</v>
      </c>
      <c r="I968" s="119" t="s">
        <v>168</v>
      </c>
      <c r="J968" s="119" t="s">
        <v>169</v>
      </c>
      <c r="K968" s="119" t="s">
        <v>170</v>
      </c>
      <c r="L968" s="119" t="s">
        <v>972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9"/>
        <v>800</v>
      </c>
      <c r="U968" s="137">
        <f t="shared" si="213"/>
        <v>20800</v>
      </c>
      <c r="V968" s="137">
        <v>20000</v>
      </c>
      <c r="W968" s="137">
        <f t="shared" si="214"/>
        <v>800</v>
      </c>
      <c r="X968" s="137">
        <f t="shared" si="210"/>
        <v>769.23076923076917</v>
      </c>
      <c r="Y968" s="137">
        <f t="shared" si="215"/>
        <v>30.76923076923083</v>
      </c>
      <c r="Z968" s="137">
        <v>0</v>
      </c>
      <c r="AA968" s="137">
        <f t="shared" si="211"/>
        <v>20000</v>
      </c>
      <c r="AB968" s="146">
        <f t="shared" si="216"/>
        <v>0</v>
      </c>
      <c r="AC968" s="147">
        <f t="shared" si="212"/>
        <v>0</v>
      </c>
      <c r="AD968" s="137">
        <f t="shared" si="217"/>
        <v>0</v>
      </c>
      <c r="AE968" s="138">
        <v>0.11269173273981201</v>
      </c>
      <c r="AF968" s="137">
        <f t="shared" si="203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hidden="1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9"/>
        <v>0</v>
      </c>
      <c r="U969" s="137">
        <f t="shared" si="213"/>
        <v>550008</v>
      </c>
      <c r="V969" s="137">
        <v>317500</v>
      </c>
      <c r="W969" s="137">
        <f t="shared" si="214"/>
        <v>232508</v>
      </c>
      <c r="X969" s="137">
        <f t="shared" si="210"/>
        <v>232508</v>
      </c>
      <c r="Y969" s="137">
        <f t="shared" si="215"/>
        <v>0</v>
      </c>
      <c r="Z969" s="137">
        <v>334662.25</v>
      </c>
      <c r="AA969" s="137">
        <f t="shared" si="211"/>
        <v>-17162.25</v>
      </c>
      <c r="AB969" s="146">
        <f t="shared" si="216"/>
        <v>334662.25</v>
      </c>
      <c r="AC969" s="147">
        <f t="shared" si="212"/>
        <v>0</v>
      </c>
      <c r="AD969" s="137">
        <v>280536.50477993698</v>
      </c>
      <c r="AE969" s="138">
        <v>0.17647058823529399</v>
      </c>
      <c r="AF969" s="137">
        <f t="shared" si="203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hidden="1" customHeight="1" x14ac:dyDescent="0.3">
      <c r="A970" s="119">
        <v>2017</v>
      </c>
      <c r="B970" s="119" t="s">
        <v>37</v>
      </c>
      <c r="C970" s="119" t="s">
        <v>74</v>
      </c>
      <c r="D970" s="119" t="s">
        <v>515</v>
      </c>
      <c r="F970" s="131" t="s">
        <v>638</v>
      </c>
      <c r="G970" s="131" t="s">
        <v>638</v>
      </c>
      <c r="H970" s="131" t="s">
        <v>638</v>
      </c>
      <c r="I970" s="119" t="s">
        <v>168</v>
      </c>
      <c r="J970" s="119" t="s">
        <v>169</v>
      </c>
      <c r="K970" s="119" t="s">
        <v>170</v>
      </c>
      <c r="L970" s="119" t="s">
        <v>638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9"/>
        <v>0</v>
      </c>
      <c r="U970" s="137">
        <f t="shared" si="213"/>
        <v>0</v>
      </c>
      <c r="V970" s="137">
        <v>590.76</v>
      </c>
      <c r="W970" s="137">
        <f t="shared" si="214"/>
        <v>-590.76</v>
      </c>
      <c r="X970" s="137">
        <f t="shared" si="210"/>
        <v>-537.0545454545454</v>
      </c>
      <c r="Y970" s="137">
        <f t="shared" si="215"/>
        <v>-53.705454545454586</v>
      </c>
      <c r="Z970" s="137">
        <v>15655.2</v>
      </c>
      <c r="AA970" s="137">
        <f t="shared" si="211"/>
        <v>-15064.44</v>
      </c>
      <c r="AB970" s="146">
        <f t="shared" si="216"/>
        <v>14232</v>
      </c>
      <c r="AC970" s="147">
        <f t="shared" si="212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3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hidden="1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9"/>
        <v>0</v>
      </c>
      <c r="U971" s="137">
        <f t="shared" si="213"/>
        <v>100000</v>
      </c>
      <c r="V971" s="137">
        <v>100000</v>
      </c>
      <c r="W971" s="137">
        <f t="shared" si="214"/>
        <v>0</v>
      </c>
      <c r="X971" s="137">
        <f t="shared" si="210"/>
        <v>0</v>
      </c>
      <c r="Y971" s="137">
        <f t="shared" si="215"/>
        <v>0</v>
      </c>
      <c r="Z971" s="137">
        <v>970828.37886792398</v>
      </c>
      <c r="AA971" s="137">
        <f t="shared" si="211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2"/>
        <v>870828.37886792398</v>
      </c>
      <c r="AD971" s="137">
        <f>970828.378867924-Q971</f>
        <v>100000</v>
      </c>
      <c r="AE971" s="135">
        <v>0</v>
      </c>
      <c r="AF971" s="137">
        <f t="shared" si="203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973</v>
      </c>
      <c r="AM971" s="119"/>
    </row>
    <row r="972" spans="1:39" s="119" customFormat="1" ht="15" hidden="1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9"/>
        <v>0</v>
      </c>
      <c r="U972" s="137">
        <f t="shared" si="213"/>
        <v>23191.66</v>
      </c>
      <c r="V972" s="137">
        <v>0</v>
      </c>
      <c r="W972" s="137">
        <f t="shared" si="214"/>
        <v>23191.66</v>
      </c>
      <c r="X972" s="137">
        <f t="shared" si="210"/>
        <v>23191.66</v>
      </c>
      <c r="Y972" s="137">
        <f t="shared" si="215"/>
        <v>0</v>
      </c>
      <c r="Z972" s="137">
        <v>14690</v>
      </c>
      <c r="AA972" s="137">
        <f t="shared" si="211"/>
        <v>-14690</v>
      </c>
      <c r="AB972" s="146">
        <f>IF(O972="返货",Z972/(1+N972),IF(O972="返现",Z972,IF(O972="折扣",Z972*N972,IF(O972="无",Z972))))</f>
        <v>14690</v>
      </c>
      <c r="AC972" s="147">
        <f t="shared" si="212"/>
        <v>0</v>
      </c>
      <c r="AD972" s="137">
        <v>14690</v>
      </c>
      <c r="AE972" s="138">
        <v>0.2</v>
      </c>
      <c r="AF972" s="137">
        <f t="shared" si="203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hidden="1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9"/>
        <v>12000</v>
      </c>
      <c r="U973" s="137">
        <f t="shared" si="213"/>
        <v>312000</v>
      </c>
      <c r="V973" s="137">
        <v>312000</v>
      </c>
      <c r="W973" s="137">
        <f t="shared" si="214"/>
        <v>0</v>
      </c>
      <c r="X973" s="137">
        <f t="shared" si="210"/>
        <v>0</v>
      </c>
      <c r="Y973" s="137">
        <f t="shared" si="215"/>
        <v>0</v>
      </c>
      <c r="Z973" s="137">
        <v>52163.42</v>
      </c>
      <c r="AA973" s="137">
        <f t="shared" si="211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2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3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hidden="1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52042.8</v>
      </c>
      <c r="R974" s="137">
        <v>0</v>
      </c>
      <c r="S974" s="137">
        <v>32700</v>
      </c>
      <c r="T974" s="137">
        <f t="shared" si="209"/>
        <v>0</v>
      </c>
      <c r="U974" s="137">
        <f t="shared" si="213"/>
        <v>32700</v>
      </c>
      <c r="V974" s="137">
        <v>32700</v>
      </c>
      <c r="W974" s="137">
        <f t="shared" si="214"/>
        <v>0</v>
      </c>
      <c r="X974" s="137">
        <f t="shared" si="210"/>
        <v>0</v>
      </c>
      <c r="Y974" s="137">
        <f t="shared" si="215"/>
        <v>0</v>
      </c>
      <c r="Z974" s="137">
        <v>84742.8</v>
      </c>
      <c r="AA974" s="137">
        <f t="shared" si="211"/>
        <v>0</v>
      </c>
      <c r="AB974" s="146">
        <f>IF(O974="返货",(Z974-Q974)/(1+N974),IF(O974="返现",(Z974-Q974),IF(O974="折扣",(Z974-Q974)*N974,IF(O974="无",(Z974-Q974)))))</f>
        <v>32700</v>
      </c>
      <c r="AC974" s="147">
        <f t="shared" si="212"/>
        <v>52042.8</v>
      </c>
      <c r="AD974" s="137">
        <f t="shared" ref="AD974:AD975" si="218">(Z974-Q974)*0.89807640489087</f>
        <v>29367.098439931451</v>
      </c>
      <c r="AE974" s="138">
        <v>0.11269173273981201</v>
      </c>
      <c r="AF974" s="137">
        <f t="shared" si="203"/>
        <v>3309.4292087365052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hidden="1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963</v>
      </c>
      <c r="G975" s="119" t="s">
        <v>963</v>
      </c>
      <c r="H975" s="119" t="s">
        <v>963</v>
      </c>
      <c r="I975" s="119" t="s">
        <v>168</v>
      </c>
      <c r="J975" s="119" t="s">
        <v>169</v>
      </c>
      <c r="K975" s="119" t="s">
        <v>170</v>
      </c>
      <c r="L975" s="119" t="s">
        <v>963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9"/>
        <v>769.23080000000004</v>
      </c>
      <c r="U975" s="137">
        <f t="shared" si="213"/>
        <v>20000.000800000002</v>
      </c>
      <c r="V975" s="137">
        <v>20000</v>
      </c>
      <c r="W975" s="137">
        <f t="shared" si="214"/>
        <v>8.0000000161817297E-4</v>
      </c>
      <c r="X975" s="137">
        <f t="shared" si="210"/>
        <v>7.6923077078670473E-4</v>
      </c>
      <c r="Y975" s="137">
        <f t="shared" si="215"/>
        <v>3.0769230831468241E-5</v>
      </c>
      <c r="Z975" s="137">
        <v>34366.199999999997</v>
      </c>
      <c r="AA975" s="137">
        <f t="shared" si="211"/>
        <v>-14366.199999999997</v>
      </c>
      <c r="AB975" s="146">
        <f t="shared" ref="AB975:AB982" si="219">IF(O975="返货",Z975/(1+N975),IF(O975="返现",Z975,IF(O975="折扣",Z975*N975,IF(O975="无",Z975))))</f>
        <v>33044.423076923071</v>
      </c>
      <c r="AC975" s="147">
        <f t="shared" si="212"/>
        <v>1321.7769230769263</v>
      </c>
      <c r="AD975" s="137">
        <f t="shared" si="218"/>
        <v>30863.473345760616</v>
      </c>
      <c r="AE975" s="138">
        <v>0.11269173273981201</v>
      </c>
      <c r="AF975" s="137">
        <f t="shared" si="203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9"/>
        <v>690.80000000000007</v>
      </c>
      <c r="U976" s="137">
        <f t="shared" si="213"/>
        <v>35230.800000000003</v>
      </c>
      <c r="V976" s="137">
        <v>34540</v>
      </c>
      <c r="W976" s="137">
        <f t="shared" si="214"/>
        <v>690.80000000000291</v>
      </c>
      <c r="X976" s="137">
        <f t="shared" si="210"/>
        <v>677.25490196078715</v>
      </c>
      <c r="Y976" s="137">
        <f t="shared" si="215"/>
        <v>13.545098039215759</v>
      </c>
      <c r="Z976" s="137">
        <v>34540</v>
      </c>
      <c r="AA976" s="137">
        <f t="shared" si="211"/>
        <v>0</v>
      </c>
      <c r="AB976" s="146">
        <f t="shared" si="219"/>
        <v>33862.745098039217</v>
      </c>
      <c r="AC976" s="147">
        <f t="shared" si="212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3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hidden="1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436</v>
      </c>
      <c r="G977" s="119" t="s">
        <v>436</v>
      </c>
      <c r="H977" s="119" t="s">
        <v>436</v>
      </c>
      <c r="I977" s="119" t="s">
        <v>168</v>
      </c>
      <c r="J977" s="119" t="s">
        <v>169</v>
      </c>
      <c r="K977" s="119" t="s">
        <v>170</v>
      </c>
      <c r="L977" s="119" t="s">
        <v>436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9"/>
        <v>20800</v>
      </c>
      <c r="U977" s="137">
        <f t="shared" si="213"/>
        <v>280800</v>
      </c>
      <c r="V977" s="137">
        <v>270400</v>
      </c>
      <c r="W977" s="137">
        <f t="shared" si="214"/>
        <v>10400</v>
      </c>
      <c r="X977" s="137">
        <f t="shared" si="210"/>
        <v>9629.6296296296296</v>
      </c>
      <c r="Y977" s="137">
        <f t="shared" si="215"/>
        <v>770.37037037037044</v>
      </c>
      <c r="Z977" s="137">
        <v>260115.62</v>
      </c>
      <c r="AA977" s="137">
        <f t="shared" si="211"/>
        <v>10284.380000000005</v>
      </c>
      <c r="AB977" s="146">
        <f t="shared" si="219"/>
        <v>240847.79629629626</v>
      </c>
      <c r="AC977" s="147">
        <f t="shared" si="212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3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hidden="1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436</v>
      </c>
      <c r="G978" s="119" t="s">
        <v>974</v>
      </c>
      <c r="H978" s="119" t="s">
        <v>974</v>
      </c>
      <c r="I978" s="119" t="s">
        <v>168</v>
      </c>
      <c r="J978" s="119" t="s">
        <v>169</v>
      </c>
      <c r="K978" s="119" t="s">
        <v>170</v>
      </c>
      <c r="L978" s="119" t="s">
        <v>436</v>
      </c>
      <c r="M978" s="119" t="s">
        <v>45</v>
      </c>
      <c r="N978" s="136">
        <v>0.02</v>
      </c>
      <c r="O978" s="135" t="s">
        <v>50</v>
      </c>
      <c r="P978" s="135" t="s">
        <v>437</v>
      </c>
      <c r="Q978" s="137">
        <v>0</v>
      </c>
      <c r="R978" s="137">
        <v>0</v>
      </c>
      <c r="S978" s="137">
        <v>620000</v>
      </c>
      <c r="T978" s="137">
        <f t="shared" si="209"/>
        <v>12400</v>
      </c>
      <c r="U978" s="137">
        <f t="shared" si="213"/>
        <v>632400</v>
      </c>
      <c r="V978" s="137">
        <v>632400</v>
      </c>
      <c r="W978" s="137">
        <f t="shared" si="214"/>
        <v>0</v>
      </c>
      <c r="X978" s="137">
        <f t="shared" si="210"/>
        <v>0</v>
      </c>
      <c r="Y978" s="137">
        <f t="shared" si="215"/>
        <v>0</v>
      </c>
      <c r="Z978" s="137">
        <v>632400</v>
      </c>
      <c r="AA978" s="137">
        <f t="shared" si="211"/>
        <v>0</v>
      </c>
      <c r="AB978" s="146">
        <f t="shared" si="219"/>
        <v>620000</v>
      </c>
      <c r="AC978" s="147">
        <f t="shared" si="212"/>
        <v>12400</v>
      </c>
      <c r="AD978" s="137">
        <f t="shared" ref="AD978:AD980" si="220">(Z978-Q978)*0.89807640489087</f>
        <v>567943.51845298626</v>
      </c>
      <c r="AE978" s="138">
        <v>0.11269173273981201</v>
      </c>
      <c r="AF978" s="137">
        <f t="shared" si="203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hidden="1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975</v>
      </c>
      <c r="G979" s="119" t="s">
        <v>975</v>
      </c>
      <c r="H979" s="119" t="s">
        <v>975</v>
      </c>
      <c r="I979" s="119" t="s">
        <v>168</v>
      </c>
      <c r="J979" s="119" t="s">
        <v>169</v>
      </c>
      <c r="K979" s="119" t="s">
        <v>170</v>
      </c>
      <c r="L979" s="119" t="s">
        <v>975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9"/>
        <v>2000</v>
      </c>
      <c r="U979" s="137">
        <f t="shared" si="213"/>
        <v>102000</v>
      </c>
      <c r="V979" s="137">
        <v>102000</v>
      </c>
      <c r="W979" s="137">
        <f t="shared" si="214"/>
        <v>0</v>
      </c>
      <c r="X979" s="137">
        <f t="shared" si="210"/>
        <v>0</v>
      </c>
      <c r="Y979" s="137">
        <f t="shared" si="215"/>
        <v>0</v>
      </c>
      <c r="Z979" s="137">
        <v>101996.9</v>
      </c>
      <c r="AA979" s="137">
        <f t="shared" si="211"/>
        <v>3.1000000000058208</v>
      </c>
      <c r="AB979" s="146">
        <f t="shared" si="219"/>
        <v>99996.96078431372</v>
      </c>
      <c r="AC979" s="147">
        <f t="shared" si="212"/>
        <v>1999.9392156862741</v>
      </c>
      <c r="AD979" s="137">
        <f t="shared" si="220"/>
        <v>91601.009262013584</v>
      </c>
      <c r="AE979" s="138">
        <v>0.11269173273981201</v>
      </c>
      <c r="AF979" s="137">
        <f t="shared" si="203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hidden="1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740</v>
      </c>
      <c r="G980" s="119" t="s">
        <v>740</v>
      </c>
      <c r="H980" s="119" t="s">
        <v>740</v>
      </c>
      <c r="I980" s="119" t="s">
        <v>168</v>
      </c>
      <c r="J980" s="119" t="s">
        <v>169</v>
      </c>
      <c r="K980" s="119" t="s">
        <v>170</v>
      </c>
      <c r="L980" s="119" t="s">
        <v>740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9"/>
        <v>4800</v>
      </c>
      <c r="U980" s="137">
        <f t="shared" si="213"/>
        <v>244800</v>
      </c>
      <c r="V980" s="137">
        <v>242800</v>
      </c>
      <c r="W980" s="137">
        <f t="shared" si="214"/>
        <v>2000</v>
      </c>
      <c r="X980" s="137">
        <f t="shared" si="210"/>
        <v>1960.7843137254902</v>
      </c>
      <c r="Y980" s="137">
        <f t="shared" si="215"/>
        <v>39.215686274509835</v>
      </c>
      <c r="Z980" s="137">
        <v>242799.7</v>
      </c>
      <c r="AA980" s="137">
        <f t="shared" si="211"/>
        <v>0.29999999998835847</v>
      </c>
      <c r="AB980" s="146">
        <f t="shared" si="219"/>
        <v>238038.92156862747</v>
      </c>
      <c r="AC980" s="147">
        <f t="shared" si="212"/>
        <v>4760.7784313725424</v>
      </c>
      <c r="AD980" s="137">
        <f t="shared" si="220"/>
        <v>218052.6816845818</v>
      </c>
      <c r="AE980" s="138">
        <v>0.11269173273981201</v>
      </c>
      <c r="AF980" s="137">
        <f t="shared" si="203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hidden="1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9"/>
        <v>400</v>
      </c>
      <c r="U981" s="137">
        <f t="shared" si="213"/>
        <v>10400</v>
      </c>
      <c r="V981" s="137">
        <v>10000</v>
      </c>
      <c r="W981" s="137">
        <f t="shared" si="214"/>
        <v>400</v>
      </c>
      <c r="X981" s="137">
        <f t="shared" si="210"/>
        <v>384.61538461538458</v>
      </c>
      <c r="Y981" s="137">
        <f t="shared" si="215"/>
        <v>15.384615384615415</v>
      </c>
      <c r="Z981" s="137">
        <v>9507.85</v>
      </c>
      <c r="AA981" s="137">
        <f t="shared" si="211"/>
        <v>492.14999999999964</v>
      </c>
      <c r="AB981" s="146">
        <f t="shared" si="219"/>
        <v>9142.163461538461</v>
      </c>
      <c r="AC981" s="147">
        <f t="shared" si="212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3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hidden="1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976</v>
      </c>
      <c r="G982" s="119" t="s">
        <v>976</v>
      </c>
      <c r="H982" s="119" t="s">
        <v>976</v>
      </c>
      <c r="I982" s="119" t="s">
        <v>168</v>
      </c>
      <c r="J982" s="119" t="s">
        <v>169</v>
      </c>
      <c r="K982" s="119" t="s">
        <v>170</v>
      </c>
      <c r="L982" s="119" t="s">
        <v>976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9"/>
        <v>16173.236000000001</v>
      </c>
      <c r="U982" s="137">
        <f t="shared" si="213"/>
        <v>420504.136</v>
      </c>
      <c r="V982" s="137">
        <v>420343</v>
      </c>
      <c r="W982" s="137">
        <f t="shared" si="214"/>
        <v>161.1359999999986</v>
      </c>
      <c r="X982" s="137">
        <f t="shared" si="210"/>
        <v>154.93846153846019</v>
      </c>
      <c r="Y982" s="137">
        <f t="shared" si="215"/>
        <v>6.1975384615384144</v>
      </c>
      <c r="Z982" s="137">
        <v>420343</v>
      </c>
      <c r="AA982" s="137">
        <f t="shared" si="211"/>
        <v>0</v>
      </c>
      <c r="AB982" s="146">
        <f t="shared" si="219"/>
        <v>404175.9615384615</v>
      </c>
      <c r="AC982" s="147">
        <f t="shared" si="212"/>
        <v>16167.038461538497</v>
      </c>
      <c r="AD982" s="137">
        <f t="shared" ref="AD982:AD983" si="221">(Z982-Q982)*0.89807640489087</f>
        <v>377500.13026104297</v>
      </c>
      <c r="AE982" s="138">
        <v>0.11269173273981201</v>
      </c>
      <c r="AF982" s="137">
        <f t="shared" si="203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hidden="1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1659</v>
      </c>
      <c r="Q983" s="137">
        <v>356269</v>
      </c>
      <c r="R983" s="137">
        <v>0</v>
      </c>
      <c r="S983" s="137">
        <v>12262000</v>
      </c>
      <c r="T983" s="137">
        <f t="shared" si="209"/>
        <v>245240</v>
      </c>
      <c r="U983" s="137">
        <f t="shared" si="213"/>
        <v>12507240</v>
      </c>
      <c r="V983" s="137">
        <v>12470240</v>
      </c>
      <c r="W983" s="137">
        <f t="shared" si="214"/>
        <v>37000</v>
      </c>
      <c r="X983" s="137">
        <f t="shared" si="210"/>
        <v>36274.509803921566</v>
      </c>
      <c r="Y983" s="137">
        <f t="shared" si="215"/>
        <v>725.49019607843366</v>
      </c>
      <c r="Z983" s="166">
        <v>12436125.9</v>
      </c>
      <c r="AA983" s="137">
        <f t="shared" si="211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2"/>
        <v>597050.50784313679</v>
      </c>
      <c r="AD983" s="137">
        <f t="shared" si="221"/>
        <v>10848634.45634817</v>
      </c>
      <c r="AE983" s="138">
        <v>0.11269173273981201</v>
      </c>
      <c r="AF983" s="137">
        <f t="shared" si="203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hidden="1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9"/>
        <v>0</v>
      </c>
      <c r="U984" s="137">
        <f t="shared" si="213"/>
        <v>100000</v>
      </c>
      <c r="V984" s="137">
        <v>100000</v>
      </c>
      <c r="W984" s="137">
        <f t="shared" si="214"/>
        <v>0</v>
      </c>
      <c r="X984" s="137">
        <f t="shared" si="210"/>
        <v>0</v>
      </c>
      <c r="Y984" s="137">
        <f t="shared" si="215"/>
        <v>0</v>
      </c>
      <c r="Z984" s="166">
        <v>93714.79</v>
      </c>
      <c r="AA984" s="137">
        <f t="shared" si="211"/>
        <v>6285.2100000000064</v>
      </c>
      <c r="AB984" s="146">
        <f t="shared" ref="AB984:AB994" si="222">IF(O984="返货",Z984/(1+N984),IF(O984="返现",Z984,IF(O984="折扣",Z984*N984,IF(O984="无",Z984))))</f>
        <v>93714.79</v>
      </c>
      <c r="AC984" s="147">
        <f t="shared" si="212"/>
        <v>0</v>
      </c>
      <c r="AD984" s="137">
        <f t="shared" ref="AD984:AD985" si="223">(Z984-Q984)*0.91072157793815</f>
        <v>85348.081424942357</v>
      </c>
      <c r="AE984" s="138">
        <v>0.11269173273981201</v>
      </c>
      <c r="AF984" s="137">
        <f t="shared" si="203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hidden="1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977</v>
      </c>
      <c r="G985" s="119" t="s">
        <v>977</v>
      </c>
      <c r="H985" s="119" t="s">
        <v>977</v>
      </c>
      <c r="I985" s="119" t="s">
        <v>168</v>
      </c>
      <c r="J985" s="119" t="s">
        <v>169</v>
      </c>
      <c r="K985" s="119" t="s">
        <v>170</v>
      </c>
      <c r="L985" s="119" t="s">
        <v>978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9"/>
        <v>1600</v>
      </c>
      <c r="U985" s="137">
        <f t="shared" si="213"/>
        <v>41600</v>
      </c>
      <c r="V985" s="137">
        <v>41600</v>
      </c>
      <c r="W985" s="137">
        <f t="shared" si="214"/>
        <v>0</v>
      </c>
      <c r="X985" s="137">
        <f t="shared" si="210"/>
        <v>0</v>
      </c>
      <c r="Y985" s="137">
        <f t="shared" si="215"/>
        <v>0</v>
      </c>
      <c r="Z985" s="137">
        <v>7010.45</v>
      </c>
      <c r="AA985" s="137">
        <f t="shared" si="211"/>
        <v>34589.550000000003</v>
      </c>
      <c r="AB985" s="146">
        <f t="shared" si="222"/>
        <v>6740.8173076923076</v>
      </c>
      <c r="AC985" s="147">
        <f t="shared" si="212"/>
        <v>269.6326923076922</v>
      </c>
      <c r="AD985" s="137">
        <f t="shared" si="223"/>
        <v>6384.5680860565035</v>
      </c>
      <c r="AE985" s="138">
        <v>0.11269173273981201</v>
      </c>
      <c r="AF985" s="137">
        <f t="shared" si="203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hidden="1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979</v>
      </c>
      <c r="G986" s="119" t="s">
        <v>979</v>
      </c>
      <c r="H986" s="119" t="s">
        <v>979</v>
      </c>
      <c r="I986" s="119" t="s">
        <v>168</v>
      </c>
      <c r="J986" s="119" t="s">
        <v>169</v>
      </c>
      <c r="K986" s="119" t="s">
        <v>170</v>
      </c>
      <c r="L986" s="119" t="s">
        <v>979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9"/>
        <v>1190.038</v>
      </c>
      <c r="U986" s="137">
        <f t="shared" si="213"/>
        <v>60691.938000000002</v>
      </c>
      <c r="V986" s="137">
        <v>60000</v>
      </c>
      <c r="W986" s="137">
        <f t="shared" si="214"/>
        <v>691.93800000000192</v>
      </c>
      <c r="X986" s="137">
        <f t="shared" si="210"/>
        <v>678.37058823529594</v>
      </c>
      <c r="Y986" s="137">
        <f t="shared" si="215"/>
        <v>13.56741176470598</v>
      </c>
      <c r="Z986" s="137">
        <v>30091.9</v>
      </c>
      <c r="AA986" s="137">
        <f t="shared" si="211"/>
        <v>29908.1</v>
      </c>
      <c r="AB986" s="146">
        <f t="shared" si="222"/>
        <v>29501.862745098038</v>
      </c>
      <c r="AC986" s="147">
        <f t="shared" si="212"/>
        <v>590.03725490196302</v>
      </c>
      <c r="AD986" s="137">
        <f t="shared" ref="AD986:AD990" si="224">(Z986-Q986)*0.89807640489087</f>
        <v>27024.825368335572</v>
      </c>
      <c r="AE986" s="138">
        <v>0.11269173273981201</v>
      </c>
      <c r="AF986" s="137">
        <f t="shared" si="203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hidden="1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747</v>
      </c>
      <c r="G987" s="119" t="s">
        <v>747</v>
      </c>
      <c r="H987" s="119" t="s">
        <v>747</v>
      </c>
      <c r="I987" s="119" t="s">
        <v>168</v>
      </c>
      <c r="J987" s="119" t="s">
        <v>169</v>
      </c>
      <c r="K987" s="119" t="s">
        <v>170</v>
      </c>
      <c r="L987" s="119" t="s">
        <v>747</v>
      </c>
      <c r="M987" s="119" t="s">
        <v>45</v>
      </c>
      <c r="N987" s="136">
        <v>0.02</v>
      </c>
      <c r="O987" s="135" t="s">
        <v>50</v>
      </c>
      <c r="P987" s="135" t="s">
        <v>1672</v>
      </c>
      <c r="Q987" s="137">
        <v>0</v>
      </c>
      <c r="R987" s="137">
        <v>0</v>
      </c>
      <c r="S987" s="137">
        <v>1100000</v>
      </c>
      <c r="T987" s="137">
        <f t="shared" si="209"/>
        <v>22000</v>
      </c>
      <c r="U987" s="137">
        <f t="shared" si="213"/>
        <v>1122000</v>
      </c>
      <c r="V987" s="137">
        <v>978400</v>
      </c>
      <c r="W987" s="137">
        <f t="shared" si="214"/>
        <v>143600</v>
      </c>
      <c r="X987" s="137">
        <f t="shared" si="210"/>
        <v>140784.31372549018</v>
      </c>
      <c r="Y987" s="137">
        <f t="shared" si="215"/>
        <v>2815.6862745098188</v>
      </c>
      <c r="Z987" s="137">
        <v>967623.4</v>
      </c>
      <c r="AA987" s="137">
        <f t="shared" si="211"/>
        <v>10776.599999999977</v>
      </c>
      <c r="AB987" s="146">
        <f t="shared" si="222"/>
        <v>948650.39215686277</v>
      </c>
      <c r="AC987" s="147">
        <f t="shared" si="212"/>
        <v>18973.007843137253</v>
      </c>
      <c r="AD987" s="137">
        <f t="shared" si="224"/>
        <v>868999.74436028034</v>
      </c>
      <c r="AE987" s="138">
        <v>0.11269173273981201</v>
      </c>
      <c r="AF987" s="137">
        <f t="shared" si="203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hidden="1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475</v>
      </c>
      <c r="G988" s="119" t="s">
        <v>475</v>
      </c>
      <c r="H988" s="119" t="s">
        <v>475</v>
      </c>
      <c r="I988" s="119" t="s">
        <v>168</v>
      </c>
      <c r="J988" s="119" t="s">
        <v>169</v>
      </c>
      <c r="K988" s="119" t="s">
        <v>170</v>
      </c>
      <c r="L988" s="119" t="s">
        <v>980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9"/>
        <v>9603.4959999999992</v>
      </c>
      <c r="U988" s="137">
        <f t="shared" si="213"/>
        <v>489778.29599999997</v>
      </c>
      <c r="V988" s="137">
        <v>492000</v>
      </c>
      <c r="W988" s="137">
        <f t="shared" si="214"/>
        <v>-2221.704000000027</v>
      </c>
      <c r="X988" s="137">
        <f t="shared" si="210"/>
        <v>-2178.1411764706145</v>
      </c>
      <c r="Y988" s="137">
        <f t="shared" si="215"/>
        <v>-43.562823529412526</v>
      </c>
      <c r="Z988" s="137">
        <v>0</v>
      </c>
      <c r="AA988" s="137">
        <f t="shared" si="211"/>
        <v>492000</v>
      </c>
      <c r="AB988" s="146">
        <f t="shared" si="222"/>
        <v>0</v>
      </c>
      <c r="AC988" s="147">
        <f t="shared" si="212"/>
        <v>0</v>
      </c>
      <c r="AD988" s="137">
        <f t="shared" si="224"/>
        <v>0</v>
      </c>
      <c r="AE988" s="138">
        <v>0.11269173273981201</v>
      </c>
      <c r="AF988" s="137">
        <f t="shared" si="203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hidden="1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980</v>
      </c>
      <c r="G989" s="119" t="s">
        <v>980</v>
      </c>
      <c r="H989" s="119" t="s">
        <v>980</v>
      </c>
      <c r="I989" s="119" t="s">
        <v>168</v>
      </c>
      <c r="J989" s="119" t="s">
        <v>169</v>
      </c>
      <c r="K989" s="119" t="s">
        <v>170</v>
      </c>
      <c r="L989" s="119" t="s">
        <v>980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9"/>
        <v>53800</v>
      </c>
      <c r="U989" s="137">
        <f t="shared" si="213"/>
        <v>2743800</v>
      </c>
      <c r="V989" s="137">
        <v>2804800</v>
      </c>
      <c r="W989" s="137">
        <f t="shared" si="214"/>
        <v>-61000</v>
      </c>
      <c r="X989" s="137">
        <f t="shared" si="210"/>
        <v>-59803.921568627447</v>
      </c>
      <c r="Y989" s="137">
        <f t="shared" si="215"/>
        <v>-1196.0784313725526</v>
      </c>
      <c r="Z989" s="137">
        <v>3243525.2</v>
      </c>
      <c r="AA989" s="137">
        <f t="shared" si="211"/>
        <v>-438725.20000000019</v>
      </c>
      <c r="AB989" s="146">
        <f t="shared" si="222"/>
        <v>3179926.666666667</v>
      </c>
      <c r="AC989" s="147">
        <f t="shared" si="212"/>
        <v>63598.533333333209</v>
      </c>
      <c r="AD989" s="137">
        <f t="shared" si="224"/>
        <v>2912933.4507889403</v>
      </c>
      <c r="AE989" s="138">
        <v>0.11269173273981201</v>
      </c>
      <c r="AF989" s="137">
        <f t="shared" si="203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hidden="1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9"/>
        <v>55500</v>
      </c>
      <c r="U990" s="137">
        <f t="shared" si="213"/>
        <v>1165500</v>
      </c>
      <c r="V990" s="137">
        <v>976540.16000000003</v>
      </c>
      <c r="W990" s="137">
        <f t="shared" si="214"/>
        <v>188959.83999999997</v>
      </c>
      <c r="X990" s="137">
        <f t="shared" si="210"/>
        <v>179961.75238095236</v>
      </c>
      <c r="Y990" s="137">
        <f t="shared" si="215"/>
        <v>8998.087619047612</v>
      </c>
      <c r="Z990" s="137">
        <v>923351</v>
      </c>
      <c r="AA990" s="137">
        <f t="shared" si="211"/>
        <v>53189.160000000033</v>
      </c>
      <c r="AB990" s="146">
        <f t="shared" si="222"/>
        <v>879381.90476190473</v>
      </c>
      <c r="AC990" s="147">
        <f t="shared" si="212"/>
        <v>43969.095238095266</v>
      </c>
      <c r="AD990" s="137">
        <f t="shared" si="224"/>
        <v>829239.74653238978</v>
      </c>
      <c r="AE990" s="138">
        <v>0.11269173273981201</v>
      </c>
      <c r="AF990" s="137">
        <f t="shared" si="203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hidden="1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9"/>
        <v>6400</v>
      </c>
      <c r="U991" s="137">
        <f t="shared" si="213"/>
        <v>86400</v>
      </c>
      <c r="V991" s="137">
        <v>86400</v>
      </c>
      <c r="W991" s="137">
        <f t="shared" si="214"/>
        <v>0</v>
      </c>
      <c r="X991" s="137">
        <f t="shared" si="210"/>
        <v>0</v>
      </c>
      <c r="Y991" s="137">
        <f t="shared" si="215"/>
        <v>0</v>
      </c>
      <c r="Z991" s="137">
        <v>42544.06</v>
      </c>
      <c r="AA991" s="137">
        <f t="shared" si="211"/>
        <v>43855.94</v>
      </c>
      <c r="AB991" s="146">
        <f t="shared" si="222"/>
        <v>39392.648148148146</v>
      </c>
      <c r="AC991" s="147">
        <f t="shared" si="212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3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hidden="1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981</v>
      </c>
      <c r="G992" s="119" t="s">
        <v>981</v>
      </c>
      <c r="H992" s="119" t="s">
        <v>981</v>
      </c>
      <c r="I992" s="119" t="s">
        <v>168</v>
      </c>
      <c r="J992" s="119" t="s">
        <v>169</v>
      </c>
      <c r="K992" s="119" t="s">
        <v>170</v>
      </c>
      <c r="L992" s="119" t="s">
        <v>981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9"/>
        <v>0</v>
      </c>
      <c r="U992" s="137">
        <f t="shared" si="213"/>
        <v>200000</v>
      </c>
      <c r="V992" s="137">
        <v>200000</v>
      </c>
      <c r="W992" s="137">
        <f t="shared" si="214"/>
        <v>0</v>
      </c>
      <c r="X992" s="137">
        <f t="shared" si="210"/>
        <v>0</v>
      </c>
      <c r="Y992" s="137">
        <f t="shared" si="215"/>
        <v>0</v>
      </c>
      <c r="Z992" s="137">
        <v>158462.70000000001</v>
      </c>
      <c r="AA992" s="137">
        <f t="shared" si="211"/>
        <v>41537.299999999988</v>
      </c>
      <c r="AB992" s="146">
        <f t="shared" si="222"/>
        <v>158462.70000000001</v>
      </c>
      <c r="AC992" s="147">
        <f t="shared" si="212"/>
        <v>0</v>
      </c>
      <c r="AD992" s="137">
        <f t="shared" ref="AD992:AD995" si="225">(Z992-Q992)*0.89807640489087</f>
        <v>142311.61192530047</v>
      </c>
      <c r="AE992" s="138">
        <v>0.11269173273981201</v>
      </c>
      <c r="AF992" s="137">
        <f t="shared" si="203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hidden="1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9"/>
        <v>1900</v>
      </c>
      <c r="U993" s="137">
        <f t="shared" si="213"/>
        <v>96900</v>
      </c>
      <c r="V993" s="137">
        <v>96900</v>
      </c>
      <c r="W993" s="137">
        <f t="shared" si="214"/>
        <v>0</v>
      </c>
      <c r="X993" s="137">
        <f t="shared" si="210"/>
        <v>0</v>
      </c>
      <c r="Y993" s="137">
        <f t="shared" si="215"/>
        <v>0</v>
      </c>
      <c r="Z993" s="137">
        <v>92644.800000000003</v>
      </c>
      <c r="AA993" s="137">
        <f t="shared" si="211"/>
        <v>4255.1999999999971</v>
      </c>
      <c r="AB993" s="146">
        <f t="shared" si="222"/>
        <v>90828.23529411765</v>
      </c>
      <c r="AC993" s="147">
        <f t="shared" si="212"/>
        <v>1816.5647058823524</v>
      </c>
      <c r="AD993" s="137">
        <f t="shared" si="225"/>
        <v>83202.108915833684</v>
      </c>
      <c r="AE993" s="138">
        <v>0.11269173273981201</v>
      </c>
      <c r="AF993" s="137">
        <f t="shared" si="203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hidden="1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982</v>
      </c>
      <c r="G994" s="119" t="s">
        <v>983</v>
      </c>
      <c r="H994" s="119" t="s">
        <v>983</v>
      </c>
      <c r="I994" s="119" t="s">
        <v>168</v>
      </c>
      <c r="J994" s="119" t="s">
        <v>169</v>
      </c>
      <c r="K994" s="119" t="s">
        <v>170</v>
      </c>
      <c r="L994" s="119" t="s">
        <v>984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9"/>
        <v>200</v>
      </c>
      <c r="U994" s="137">
        <f t="shared" si="213"/>
        <v>10200</v>
      </c>
      <c r="V994" s="137">
        <v>10200</v>
      </c>
      <c r="W994" s="137">
        <f t="shared" si="214"/>
        <v>0</v>
      </c>
      <c r="X994" s="137">
        <f t="shared" si="210"/>
        <v>0</v>
      </c>
      <c r="Y994" s="137">
        <f t="shared" si="215"/>
        <v>0</v>
      </c>
      <c r="Z994" s="137">
        <v>10197.5</v>
      </c>
      <c r="AA994" s="137">
        <f t="shared" si="211"/>
        <v>2.5</v>
      </c>
      <c r="AB994" s="146">
        <f t="shared" si="222"/>
        <v>9997.5490196078426</v>
      </c>
      <c r="AC994" s="147">
        <f t="shared" si="212"/>
        <v>199.95098039215736</v>
      </c>
      <c r="AD994" s="137">
        <f t="shared" si="225"/>
        <v>9158.1341388746478</v>
      </c>
      <c r="AE994" s="138">
        <v>0.11269173273981201</v>
      </c>
      <c r="AF994" s="137">
        <f t="shared" si="203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hidden="1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751</v>
      </c>
      <c r="G995" s="119" t="s">
        <v>752</v>
      </c>
      <c r="H995" s="119" t="s">
        <v>752</v>
      </c>
      <c r="I995" s="119" t="s">
        <v>168</v>
      </c>
      <c r="J995" s="119" t="s">
        <v>169</v>
      </c>
      <c r="K995" s="119" t="s">
        <v>170</v>
      </c>
      <c r="L995" s="119" t="s">
        <v>751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9"/>
        <v>0</v>
      </c>
      <c r="U995" s="137">
        <f t="shared" si="213"/>
        <v>1829000</v>
      </c>
      <c r="V995" s="137">
        <v>1379983.8</v>
      </c>
      <c r="W995" s="137">
        <f t="shared" si="214"/>
        <v>449016.19999999995</v>
      </c>
      <c r="X995" s="137">
        <f t="shared" si="210"/>
        <v>449016.19999999995</v>
      </c>
      <c r="Y995" s="137">
        <f t="shared" si="215"/>
        <v>0</v>
      </c>
      <c r="Z995" s="137">
        <v>1501010.8</v>
      </c>
      <c r="AA995" s="137">
        <f t="shared" si="211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2"/>
        <v>266870.05000000005</v>
      </c>
      <c r="AD995" s="137">
        <f t="shared" si="225"/>
        <v>1108352.6878893219</v>
      </c>
      <c r="AE995" s="138">
        <v>0.11269173273981201</v>
      </c>
      <c r="AF995" s="137">
        <f t="shared" si="203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hidden="1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751</v>
      </c>
      <c r="G996" s="119" t="s">
        <v>752</v>
      </c>
      <c r="H996" s="119" t="s">
        <v>752</v>
      </c>
      <c r="I996" s="119" t="s">
        <v>168</v>
      </c>
      <c r="J996" s="119" t="s">
        <v>169</v>
      </c>
      <c r="K996" s="119" t="s">
        <v>170</v>
      </c>
      <c r="L996" s="119" t="s">
        <v>751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9"/>
        <v>0</v>
      </c>
      <c r="U996" s="137">
        <f t="shared" si="213"/>
        <v>313160</v>
      </c>
      <c r="V996" s="137">
        <v>313160</v>
      </c>
      <c r="W996" s="137">
        <f t="shared" si="214"/>
        <v>0</v>
      </c>
      <c r="X996" s="137">
        <f t="shared" si="210"/>
        <v>0</v>
      </c>
      <c r="Y996" s="137">
        <f t="shared" si="215"/>
        <v>0</v>
      </c>
      <c r="Z996" s="137">
        <v>313160</v>
      </c>
      <c r="AA996" s="137">
        <f t="shared" si="211"/>
        <v>0</v>
      </c>
      <c r="AB996" s="146">
        <f t="shared" ref="AB996:AB1001" si="226">IF(O996="返货",Z996/(1+N996),IF(O996="返现",Z996,IF(O996="折扣",Z996*N996,IF(O996="无",Z996))))</f>
        <v>313160</v>
      </c>
      <c r="AC996" s="147">
        <f t="shared" si="212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3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hidden="1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715</v>
      </c>
      <c r="G997" s="119" t="s">
        <v>715</v>
      </c>
      <c r="H997" s="119" t="s">
        <v>715</v>
      </c>
      <c r="I997" s="119" t="s">
        <v>168</v>
      </c>
      <c r="J997" s="119" t="s">
        <v>169</v>
      </c>
      <c r="K997" s="119" t="s">
        <v>170</v>
      </c>
      <c r="L997" s="119" t="s">
        <v>715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9"/>
        <v>86894.935799999992</v>
      </c>
      <c r="U997" s="137">
        <f t="shared" si="213"/>
        <v>1535143.8658</v>
      </c>
      <c r="V997" s="137">
        <v>1524651.11</v>
      </c>
      <c r="W997" s="137">
        <f t="shared" si="214"/>
        <v>10492.755799999926</v>
      </c>
      <c r="X997" s="137">
        <f t="shared" si="210"/>
        <v>9898.8262264150235</v>
      </c>
      <c r="Y997" s="137">
        <f t="shared" si="215"/>
        <v>593.92957358490276</v>
      </c>
      <c r="Z997" s="137">
        <v>1322085.8</v>
      </c>
      <c r="AA997" s="137">
        <f t="shared" si="211"/>
        <v>202565.31000000006</v>
      </c>
      <c r="AB997" s="146">
        <f t="shared" si="226"/>
        <v>1247250.7547169812</v>
      </c>
      <c r="AC997" s="147">
        <f t="shared" si="212"/>
        <v>74835.045283018844</v>
      </c>
      <c r="AD997" s="137">
        <f t="shared" ref="AD997:AD998" si="227">(Z997-Q997)*0.89807640489087</f>
        <v>1187334.0622212698</v>
      </c>
      <c r="AE997" s="138">
        <v>0.11269173273981201</v>
      </c>
      <c r="AF997" s="137">
        <f t="shared" si="203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hidden="1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756</v>
      </c>
      <c r="H998" s="119" t="s">
        <v>756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1683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9"/>
        <v>6562.0530000000008</v>
      </c>
      <c r="U998" s="137">
        <f t="shared" si="213"/>
        <v>334664.70300000004</v>
      </c>
      <c r="V998" s="137">
        <v>580000</v>
      </c>
      <c r="W998" s="137">
        <f t="shared" si="214"/>
        <v>-245335.29699999996</v>
      </c>
      <c r="X998" s="137">
        <f t="shared" si="210"/>
        <v>-240524.80098039212</v>
      </c>
      <c r="Y998" s="137">
        <f t="shared" si="215"/>
        <v>-4810.4960196078464</v>
      </c>
      <c r="Z998" s="137">
        <v>334664.7</v>
      </c>
      <c r="AA998" s="137">
        <f t="shared" si="211"/>
        <v>245335.3</v>
      </c>
      <c r="AB998" s="146">
        <f t="shared" si="226"/>
        <v>328102.64705882355</v>
      </c>
      <c r="AC998" s="147">
        <f t="shared" si="212"/>
        <v>6562.0529411764583</v>
      </c>
      <c r="AD998" s="137">
        <f t="shared" si="227"/>
        <v>300554.47061988158</v>
      </c>
      <c r="AE998" s="138">
        <v>0.11269173273981201</v>
      </c>
      <c r="AF998" s="137">
        <f t="shared" si="203"/>
        <v>33870.004076851372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hidden="1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756</v>
      </c>
      <c r="H999" s="119" t="s">
        <v>756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1684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9"/>
        <v>2005.5808</v>
      </c>
      <c r="U999" s="137">
        <f t="shared" si="213"/>
        <v>52145.1008</v>
      </c>
      <c r="V999" s="137">
        <v>220000</v>
      </c>
      <c r="W999" s="137">
        <f t="shared" si="214"/>
        <v>-167854.89919999999</v>
      </c>
      <c r="X999" s="137">
        <f t="shared" si="210"/>
        <v>-161398.94153846151</v>
      </c>
      <c r="Y999" s="137">
        <f t="shared" si="215"/>
        <v>-6455.9576615384722</v>
      </c>
      <c r="Z999" s="137">
        <v>52145.1</v>
      </c>
      <c r="AA999" s="137">
        <f t="shared" si="211"/>
        <v>167854.9</v>
      </c>
      <c r="AB999" s="146">
        <f t="shared" si="226"/>
        <v>50139.519230769227</v>
      </c>
      <c r="AC999" s="147">
        <f t="shared" si="212"/>
        <v>2005.5807692307717</v>
      </c>
      <c r="AD999" s="137">
        <f>(Z999-Q999)*0.91072157793815</f>
        <v>47489.667753742622</v>
      </c>
      <c r="AE999" s="138">
        <v>0.11269173273981201</v>
      </c>
      <c r="AF999" s="137">
        <f t="shared" si="203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hidden="1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757</v>
      </c>
      <c r="G1000" s="119" t="s">
        <v>757</v>
      </c>
      <c r="H1000" s="119" t="s">
        <v>757</v>
      </c>
      <c r="I1000" s="119" t="s">
        <v>168</v>
      </c>
      <c r="J1000" s="119" t="s">
        <v>169</v>
      </c>
      <c r="K1000" s="119" t="s">
        <v>170</v>
      </c>
      <c r="L1000" s="119" t="s">
        <v>757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9"/>
        <v>0</v>
      </c>
      <c r="U1000" s="137">
        <f t="shared" si="213"/>
        <v>2801251.39</v>
      </c>
      <c r="V1000" s="137">
        <v>2856310.1</v>
      </c>
      <c r="W1000" s="137">
        <f t="shared" si="214"/>
        <v>-55058.709999999963</v>
      </c>
      <c r="X1000" s="137">
        <f t="shared" si="210"/>
        <v>-55058.709999999963</v>
      </c>
      <c r="Y1000" s="137">
        <f t="shared" si="215"/>
        <v>0</v>
      </c>
      <c r="Z1000" s="137">
        <v>2801251.4</v>
      </c>
      <c r="AA1000" s="137">
        <f t="shared" si="211"/>
        <v>55058.700000000186</v>
      </c>
      <c r="AB1000" s="146">
        <f t="shared" si="226"/>
        <v>2801251.4</v>
      </c>
      <c r="AC1000" s="147">
        <f t="shared" si="212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3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hidden="1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757</v>
      </c>
      <c r="G1001" s="119" t="s">
        <v>757</v>
      </c>
      <c r="H1001" s="119" t="s">
        <v>757</v>
      </c>
      <c r="I1001" s="119" t="s">
        <v>168</v>
      </c>
      <c r="J1001" s="119" t="s">
        <v>169</v>
      </c>
      <c r="K1001" s="119" t="s">
        <v>170</v>
      </c>
      <c r="L1001" s="119" t="s">
        <v>757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9"/>
        <v>0</v>
      </c>
      <c r="U1001" s="137">
        <f t="shared" si="213"/>
        <v>44871.34</v>
      </c>
      <c r="V1001" s="137">
        <v>100000</v>
      </c>
      <c r="W1001" s="137">
        <f t="shared" si="214"/>
        <v>-55128.66</v>
      </c>
      <c r="X1001" s="137">
        <f t="shared" si="210"/>
        <v>-55128.66</v>
      </c>
      <c r="Y1001" s="137">
        <f t="shared" si="215"/>
        <v>0</v>
      </c>
      <c r="Z1001" s="137">
        <v>44871.33</v>
      </c>
      <c r="AA1001" s="137">
        <f t="shared" si="211"/>
        <v>55128.67</v>
      </c>
      <c r="AB1001" s="146">
        <f t="shared" si="226"/>
        <v>44871.33</v>
      </c>
      <c r="AC1001" s="147">
        <f t="shared" si="212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3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hidden="1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757</v>
      </c>
      <c r="G1002" s="119" t="s">
        <v>757</v>
      </c>
      <c r="H1002" s="119" t="s">
        <v>757</v>
      </c>
      <c r="I1002" s="119" t="s">
        <v>168</v>
      </c>
      <c r="J1002" s="119" t="s">
        <v>169</v>
      </c>
      <c r="K1002" s="119" t="s">
        <v>170</v>
      </c>
      <c r="L1002" s="119" t="s">
        <v>757</v>
      </c>
      <c r="M1002" s="119" t="s">
        <v>158</v>
      </c>
      <c r="N1002" s="135">
        <v>0</v>
      </c>
      <c r="O1002" s="135" t="s">
        <v>46</v>
      </c>
      <c r="P1002" s="135" t="s">
        <v>758</v>
      </c>
      <c r="Q1002" s="137">
        <v>0</v>
      </c>
      <c r="R1002" s="137">
        <v>0</v>
      </c>
      <c r="S1002" s="137">
        <v>883845</v>
      </c>
      <c r="T1002" s="137">
        <f t="shared" si="209"/>
        <v>0</v>
      </c>
      <c r="U1002" s="137">
        <f t="shared" si="213"/>
        <v>883845</v>
      </c>
      <c r="V1002" s="137">
        <v>121845</v>
      </c>
      <c r="W1002" s="137">
        <f t="shared" si="214"/>
        <v>762000</v>
      </c>
      <c r="X1002" s="137">
        <f t="shared" si="210"/>
        <v>762000</v>
      </c>
      <c r="Y1002" s="137">
        <f t="shared" si="215"/>
        <v>0</v>
      </c>
      <c r="Z1002" s="137">
        <v>121845</v>
      </c>
      <c r="AA1002" s="137">
        <f t="shared" si="211"/>
        <v>0</v>
      </c>
      <c r="AB1002" s="146">
        <f>AD1002*2</f>
        <v>201298.95914219419</v>
      </c>
      <c r="AC1002" s="147">
        <f t="shared" si="212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3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hidden="1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759</v>
      </c>
      <c r="G1003" s="119" t="s">
        <v>759</v>
      </c>
      <c r="H1003" s="119" t="s">
        <v>759</v>
      </c>
      <c r="I1003" s="119" t="s">
        <v>168</v>
      </c>
      <c r="J1003" s="119" t="s">
        <v>169</v>
      </c>
      <c r="K1003" s="119" t="s">
        <v>170</v>
      </c>
      <c r="L1003" s="119" t="s">
        <v>759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9"/>
        <v>268000</v>
      </c>
      <c r="U1003" s="137">
        <f t="shared" si="213"/>
        <v>13668000</v>
      </c>
      <c r="V1003" s="137">
        <v>13652000</v>
      </c>
      <c r="W1003" s="137">
        <f t="shared" si="214"/>
        <v>16000</v>
      </c>
      <c r="X1003" s="137">
        <f t="shared" si="210"/>
        <v>15686.274509803921</v>
      </c>
      <c r="Y1003" s="137">
        <f t="shared" si="215"/>
        <v>313.72549019607868</v>
      </c>
      <c r="Z1003" s="137">
        <v>11626114</v>
      </c>
      <c r="AA1003" s="137">
        <f t="shared" si="211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2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3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hidden="1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759</v>
      </c>
      <c r="G1004" s="119" t="s">
        <v>759</v>
      </c>
      <c r="H1004" s="119" t="s">
        <v>759</v>
      </c>
      <c r="I1004" s="119" t="s">
        <v>168</v>
      </c>
      <c r="J1004" s="119" t="s">
        <v>169</v>
      </c>
      <c r="K1004" s="119" t="s">
        <v>170</v>
      </c>
      <c r="L1004" s="119" t="s">
        <v>759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9"/>
        <v>6592.9416000000001</v>
      </c>
      <c r="U1004" s="137">
        <f t="shared" si="213"/>
        <v>336240.02160000004</v>
      </c>
      <c r="V1004" s="137">
        <v>336240.02159999998</v>
      </c>
      <c r="W1004" s="137">
        <f t="shared" si="214"/>
        <v>0</v>
      </c>
      <c r="X1004" s="137">
        <f t="shared" si="210"/>
        <v>0</v>
      </c>
      <c r="Y1004" s="137">
        <f t="shared" si="215"/>
        <v>0</v>
      </c>
      <c r="Z1004" s="137">
        <v>336240</v>
      </c>
      <c r="AA1004" s="137">
        <f t="shared" si="211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2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3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hidden="1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759</v>
      </c>
      <c r="G1005" s="119" t="s">
        <v>759</v>
      </c>
      <c r="H1005" s="119" t="s">
        <v>759</v>
      </c>
      <c r="I1005" s="119" t="s">
        <v>168</v>
      </c>
      <c r="J1005" s="119" t="s">
        <v>169</v>
      </c>
      <c r="K1005" s="119" t="s">
        <v>170</v>
      </c>
      <c r="L1005" s="119" t="s">
        <v>759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9"/>
        <v>1200</v>
      </c>
      <c r="U1005" s="137">
        <f t="shared" si="213"/>
        <v>31200</v>
      </c>
      <c r="V1005" s="137">
        <v>31200</v>
      </c>
      <c r="W1005" s="137">
        <f t="shared" si="214"/>
        <v>0</v>
      </c>
      <c r="X1005" s="137">
        <f t="shared" si="210"/>
        <v>0</v>
      </c>
      <c r="Y1005" s="137">
        <f t="shared" si="215"/>
        <v>0</v>
      </c>
      <c r="Z1005" s="137">
        <v>30750.98</v>
      </c>
      <c r="AA1005" s="137">
        <f t="shared" si="211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2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3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hidden="1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760</v>
      </c>
      <c r="G1006" s="119" t="s">
        <v>760</v>
      </c>
      <c r="H1006" s="119" t="s">
        <v>760</v>
      </c>
      <c r="I1006" s="119" t="s">
        <v>168</v>
      </c>
      <c r="J1006" s="119" t="s">
        <v>169</v>
      </c>
      <c r="K1006" s="119" t="s">
        <v>170</v>
      </c>
      <c r="L1006" s="119" t="s">
        <v>760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9"/>
        <v>88000</v>
      </c>
      <c r="U1006" s="137">
        <f t="shared" si="213"/>
        <v>4488000</v>
      </c>
      <c r="V1006" s="137">
        <v>4393000</v>
      </c>
      <c r="W1006" s="137">
        <f t="shared" si="214"/>
        <v>95000</v>
      </c>
      <c r="X1006" s="137">
        <f t="shared" si="210"/>
        <v>93137.254901960783</v>
      </c>
      <c r="Y1006" s="137">
        <f t="shared" si="215"/>
        <v>1862.7450980392168</v>
      </c>
      <c r="Z1006" s="137">
        <v>4209402.5999999996</v>
      </c>
      <c r="AA1006" s="137">
        <f t="shared" si="211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2"/>
        <v>82537.30588235287</v>
      </c>
      <c r="AD1006" s="137">
        <f t="shared" ref="AD1006:AD1008" si="228">(Z1006-Q1006)*0.89807640489087</f>
        <v>3780365.1537462808</v>
      </c>
      <c r="AE1006" s="138">
        <v>0.11269173273981201</v>
      </c>
      <c r="AF1006" s="137">
        <f t="shared" si="203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hidden="1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761</v>
      </c>
      <c r="G1007" s="119" t="s">
        <v>985</v>
      </c>
      <c r="H1007" s="119" t="s">
        <v>985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9"/>
        <v>18000</v>
      </c>
      <c r="U1007" s="137">
        <f t="shared" si="213"/>
        <v>918000</v>
      </c>
      <c r="V1007" s="137">
        <v>2397000</v>
      </c>
      <c r="W1007" s="137">
        <f t="shared" si="214"/>
        <v>-1479000</v>
      </c>
      <c r="X1007" s="137">
        <f t="shared" si="210"/>
        <v>-1450000</v>
      </c>
      <c r="Y1007" s="137">
        <f t="shared" si="215"/>
        <v>-29000</v>
      </c>
      <c r="Z1007" s="137">
        <v>24477813.199999999</v>
      </c>
      <c r="AA1007" s="137">
        <f t="shared" si="211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2"/>
        <v>479957.12156862766</v>
      </c>
      <c r="AD1007" s="137">
        <f t="shared" si="228"/>
        <v>21982946.478246283</v>
      </c>
      <c r="AE1007" s="138">
        <v>0.11269173273981201</v>
      </c>
      <c r="AF1007" s="137">
        <f t="shared" ref="AF1007:AF1069" si="229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hidden="1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9"/>
        <v>474235.25460000004</v>
      </c>
      <c r="U1008" s="137">
        <f t="shared" si="213"/>
        <v>24185997.9846</v>
      </c>
      <c r="V1008" s="137">
        <v>22293392.859999999</v>
      </c>
      <c r="W1008" s="137">
        <f t="shared" si="214"/>
        <v>1892605.1246000007</v>
      </c>
      <c r="X1008" s="137">
        <f t="shared" si="210"/>
        <v>1855495.220196079</v>
      </c>
      <c r="Y1008" s="137">
        <f t="shared" si="215"/>
        <v>37109.904403921682</v>
      </c>
      <c r="Z1008" s="137">
        <v>0</v>
      </c>
      <c r="AA1008" s="137">
        <f t="shared" si="211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2"/>
        <v>200380.58823529413</v>
      </c>
      <c r="AD1008" s="137">
        <f t="shared" si="228"/>
        <v>-183556.21985811612</v>
      </c>
      <c r="AE1008" s="138">
        <v>0.11269173273981201</v>
      </c>
      <c r="AF1008" s="137">
        <f t="shared" si="229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hidden="1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761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9"/>
        <v>7332.0688</v>
      </c>
      <c r="U1009" s="137">
        <f t="shared" si="213"/>
        <v>373935.50880000001</v>
      </c>
      <c r="V1009" s="137">
        <v>372936.9</v>
      </c>
      <c r="W1009" s="137">
        <f t="shared" si="214"/>
        <v>998.60879999998724</v>
      </c>
      <c r="X1009" s="137">
        <f t="shared" si="210"/>
        <v>979.02823529410512</v>
      </c>
      <c r="Y1009" s="137">
        <f t="shared" si="215"/>
        <v>19.580564705882125</v>
      </c>
      <c r="Z1009" s="137">
        <v>372936.9</v>
      </c>
      <c r="AA1009" s="137">
        <f t="shared" si="211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2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9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hidden="1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762</v>
      </c>
      <c r="G1010" s="119" t="s">
        <v>762</v>
      </c>
      <c r="H1010" s="119" t="s">
        <v>762</v>
      </c>
      <c r="I1010" s="119" t="s">
        <v>168</v>
      </c>
      <c r="J1010" s="119" t="s">
        <v>169</v>
      </c>
      <c r="K1010" s="119" t="s">
        <v>170</v>
      </c>
      <c r="L1010" s="119" t="s">
        <v>762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9"/>
        <v>400</v>
      </c>
      <c r="U1010" s="137">
        <f t="shared" si="213"/>
        <v>20400</v>
      </c>
      <c r="V1010" s="137">
        <v>20000</v>
      </c>
      <c r="W1010" s="137">
        <f t="shared" si="214"/>
        <v>400</v>
      </c>
      <c r="X1010" s="137">
        <f t="shared" si="210"/>
        <v>392.15686274509801</v>
      </c>
      <c r="Y1010" s="137">
        <f t="shared" si="215"/>
        <v>7.8431372549019898</v>
      </c>
      <c r="Z1010" s="137">
        <v>19998.5</v>
      </c>
      <c r="AA1010" s="137">
        <f t="shared" si="211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2"/>
        <v>392.12745098039159</v>
      </c>
      <c r="AD1010" s="137">
        <f t="shared" ref="AD1010:AD1011" si="230">(Z1010-Q1010)*0.89807640489087</f>
        <v>17960.180983210066</v>
      </c>
      <c r="AE1010" s="138">
        <v>0.11269173273981201</v>
      </c>
      <c r="AF1010" s="137">
        <f t="shared" si="229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763</v>
      </c>
      <c r="G1011" s="119" t="s">
        <v>763</v>
      </c>
      <c r="H1011" s="119" t="s">
        <v>763</v>
      </c>
      <c r="I1011" s="119" t="s">
        <v>168</v>
      </c>
      <c r="J1011" s="119" t="s">
        <v>169</v>
      </c>
      <c r="K1011" s="119" t="s">
        <v>170</v>
      </c>
      <c r="L1011" s="119" t="s">
        <v>763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9"/>
        <v>63764.705800000003</v>
      </c>
      <c r="U1011" s="137">
        <f t="shared" si="213"/>
        <v>3251999.9958000001</v>
      </c>
      <c r="V1011" s="137">
        <v>3080000</v>
      </c>
      <c r="W1011" s="137">
        <f t="shared" si="214"/>
        <v>171999.99580000015</v>
      </c>
      <c r="X1011" s="137">
        <f t="shared" si="210"/>
        <v>168627.44686274524</v>
      </c>
      <c r="Y1011" s="137">
        <f t="shared" si="215"/>
        <v>3372.5489372549055</v>
      </c>
      <c r="Z1011" s="137">
        <v>2911329.2</v>
      </c>
      <c r="AA1011" s="137">
        <f t="shared" si="211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2"/>
        <v>57084.886274510063</v>
      </c>
      <c r="AD1011" s="137">
        <f t="shared" si="230"/>
        <v>2614596.0613898127</v>
      </c>
      <c r="AE1011" s="138">
        <v>0.11269173273981201</v>
      </c>
      <c r="AF1011" s="137">
        <f t="shared" si="229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hidden="1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763</v>
      </c>
      <c r="G1012" s="119" t="s">
        <v>763</v>
      </c>
      <c r="H1012" s="119" t="s">
        <v>763</v>
      </c>
      <c r="I1012" s="119" t="s">
        <v>168</v>
      </c>
      <c r="J1012" s="119" t="s">
        <v>169</v>
      </c>
      <c r="K1012" s="119" t="s">
        <v>170</v>
      </c>
      <c r="L1012" s="119" t="s">
        <v>763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9"/>
        <v>212769.2304</v>
      </c>
      <c r="U1012" s="137">
        <f t="shared" si="213"/>
        <v>5531999.9903999995</v>
      </c>
      <c r="V1012" s="137">
        <v>4330000</v>
      </c>
      <c r="W1012" s="137">
        <f t="shared" si="214"/>
        <v>1201999.9903999995</v>
      </c>
      <c r="X1012" s="137">
        <f t="shared" si="210"/>
        <v>1155769.221538461</v>
      </c>
      <c r="Y1012" s="137">
        <f t="shared" si="215"/>
        <v>46230.768861538498</v>
      </c>
      <c r="Z1012" s="137">
        <v>4242661.3499999996</v>
      </c>
      <c r="AA1012" s="137">
        <f t="shared" si="211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2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9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hidden="1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848</v>
      </c>
      <c r="Q1013" s="137">
        <v>127698.972092825</v>
      </c>
      <c r="R1013" s="137">
        <v>0</v>
      </c>
      <c r="S1013" s="137"/>
      <c r="T1013" s="137">
        <f t="shared" si="209"/>
        <v>0</v>
      </c>
      <c r="U1013" s="137">
        <f t="shared" si="213"/>
        <v>0</v>
      </c>
      <c r="V1013" s="137">
        <v>0</v>
      </c>
      <c r="W1013" s="137">
        <f t="shared" si="214"/>
        <v>0</v>
      </c>
      <c r="X1013" s="137">
        <f t="shared" si="210"/>
        <v>0</v>
      </c>
      <c r="Y1013" s="137">
        <f t="shared" si="215"/>
        <v>0</v>
      </c>
      <c r="Z1013" s="137">
        <v>139244.4</v>
      </c>
      <c r="AA1013" s="137">
        <f t="shared" si="211"/>
        <v>-11545.427907174992</v>
      </c>
      <c r="AB1013" s="146">
        <v>0</v>
      </c>
      <c r="AC1013" s="147">
        <f t="shared" si="212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9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hidden="1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764</v>
      </c>
      <c r="G1014" s="119" t="s">
        <v>764</v>
      </c>
      <c r="H1014" s="119" t="s">
        <v>764</v>
      </c>
      <c r="I1014" s="119" t="s">
        <v>168</v>
      </c>
      <c r="J1014" s="119" t="s">
        <v>169</v>
      </c>
      <c r="K1014" s="119" t="s">
        <v>170</v>
      </c>
      <c r="L1014" s="119" t="s">
        <v>764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9"/>
        <v>384.6</v>
      </c>
      <c r="U1014" s="137">
        <f t="shared" si="213"/>
        <v>9999.6</v>
      </c>
      <c r="V1014" s="137">
        <v>10000</v>
      </c>
      <c r="W1014" s="137">
        <f t="shared" si="214"/>
        <v>-0.3999999999996362</v>
      </c>
      <c r="X1014" s="137">
        <f t="shared" si="210"/>
        <v>-0.38461538461503481</v>
      </c>
      <c r="Y1014" s="137">
        <f t="shared" si="215"/>
        <v>-1.5384615384601397E-2</v>
      </c>
      <c r="Z1014" s="137">
        <v>9525.7999999999993</v>
      </c>
      <c r="AA1014" s="137">
        <f t="shared" si="211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2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9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771</v>
      </c>
      <c r="G1015" s="119" t="s">
        <v>771</v>
      </c>
      <c r="H1015" s="119" t="s">
        <v>771</v>
      </c>
      <c r="I1015" s="119" t="s">
        <v>168</v>
      </c>
      <c r="J1015" s="119" t="s">
        <v>861</v>
      </c>
      <c r="K1015" s="119" t="s">
        <v>862</v>
      </c>
      <c r="L1015" s="119" t="s">
        <v>771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9"/>
        <v>0</v>
      </c>
      <c r="U1015" s="137">
        <f t="shared" si="213"/>
        <v>20000</v>
      </c>
      <c r="V1015" s="137">
        <v>20000</v>
      </c>
      <c r="W1015" s="137">
        <f t="shared" si="214"/>
        <v>0</v>
      </c>
      <c r="X1015" s="137">
        <f t="shared" si="210"/>
        <v>0</v>
      </c>
      <c r="Y1015" s="137">
        <f t="shared" si="215"/>
        <v>0</v>
      </c>
      <c r="Z1015" s="137">
        <v>0</v>
      </c>
      <c r="AA1015" s="137">
        <f t="shared" si="211"/>
        <v>20000</v>
      </c>
      <c r="AB1015" s="146">
        <f>IF(O1015="返货",Z1015/(1+N1015),IF(O1015="返现",Z1015,IF(O1015="折扣",Z1015*N1015,IF(O1015="无",Z1015))))</f>
        <v>0</v>
      </c>
      <c r="AC1015" s="147">
        <f t="shared" si="212"/>
        <v>0</v>
      </c>
      <c r="AD1015" s="137">
        <f>Z1015*0.972201473425119-Q1015</f>
        <v>0</v>
      </c>
      <c r="AE1015" s="138">
        <v>0.1</v>
      </c>
      <c r="AF1015" s="137">
        <f t="shared" si="229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hidden="1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766</v>
      </c>
      <c r="G1016" s="119" t="s">
        <v>766</v>
      </c>
      <c r="H1016" s="119" t="s">
        <v>766</v>
      </c>
      <c r="I1016" s="119" t="s">
        <v>168</v>
      </c>
      <c r="J1016" s="119" t="s">
        <v>169</v>
      </c>
      <c r="K1016" s="119" t="s">
        <v>170</v>
      </c>
      <c r="L1016" s="119" t="s">
        <v>766</v>
      </c>
      <c r="M1016" s="119" t="s">
        <v>45</v>
      </c>
      <c r="N1016" s="136">
        <v>0.04</v>
      </c>
      <c r="O1016" s="135" t="s">
        <v>50</v>
      </c>
      <c r="P1016" s="135" t="s">
        <v>437</v>
      </c>
      <c r="Q1016" s="137">
        <v>0</v>
      </c>
      <c r="R1016" s="137">
        <v>0</v>
      </c>
      <c r="S1016" s="137">
        <v>939645.3</v>
      </c>
      <c r="T1016" s="137">
        <f t="shared" si="209"/>
        <v>37585.812000000005</v>
      </c>
      <c r="U1016" s="137">
        <f t="shared" si="213"/>
        <v>977231.11200000008</v>
      </c>
      <c r="V1016" s="137">
        <v>891468.22</v>
      </c>
      <c r="W1016" s="137">
        <f t="shared" si="214"/>
        <v>85762.892000000109</v>
      </c>
      <c r="X1016" s="137">
        <f t="shared" si="210"/>
        <v>82464.319230769339</v>
      </c>
      <c r="Y1016" s="137">
        <f t="shared" si="215"/>
        <v>3298.5727692307701</v>
      </c>
      <c r="Z1016" s="137">
        <v>308260.7</v>
      </c>
      <c r="AA1016" s="137">
        <f t="shared" si="211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2"/>
        <v>11856.180769230763</v>
      </c>
      <c r="AD1016" s="137">
        <f t="shared" ref="AD1016:AD1018" si="231">(Z1016-Q1016)*0.89807640489087</f>
        <v>276841.66122514301</v>
      </c>
      <c r="AE1016" s="138">
        <v>0.11269173273981201</v>
      </c>
      <c r="AF1016" s="137">
        <f t="shared" si="229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hidden="1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986</v>
      </c>
      <c r="M1017" s="119" t="s">
        <v>45</v>
      </c>
      <c r="N1017" s="135">
        <v>0</v>
      </c>
      <c r="O1017" s="135" t="s">
        <v>46</v>
      </c>
      <c r="P1017" s="135" t="s">
        <v>848</v>
      </c>
      <c r="Q1017" s="137">
        <v>112323.305808839</v>
      </c>
      <c r="R1017" s="137">
        <v>0</v>
      </c>
      <c r="S1017" s="137"/>
      <c r="T1017" s="137">
        <f t="shared" si="209"/>
        <v>0</v>
      </c>
      <c r="U1017" s="137">
        <f t="shared" si="213"/>
        <v>0</v>
      </c>
      <c r="V1017" s="137">
        <v>0</v>
      </c>
      <c r="W1017" s="137">
        <f t="shared" si="214"/>
        <v>0</v>
      </c>
      <c r="X1017" s="137">
        <f t="shared" si="210"/>
        <v>0</v>
      </c>
      <c r="Y1017" s="137">
        <f t="shared" si="215"/>
        <v>0</v>
      </c>
      <c r="Z1017" s="137">
        <v>122478.6</v>
      </c>
      <c r="AA1017" s="137">
        <f t="shared" si="211"/>
        <v>-10155.294191161011</v>
      </c>
      <c r="AB1017" s="146">
        <v>0</v>
      </c>
      <c r="AC1017" s="147">
        <f t="shared" si="212"/>
        <v>122478.6</v>
      </c>
      <c r="AD1017" s="137">
        <f t="shared" si="231"/>
        <v>9120.2300978070161</v>
      </c>
      <c r="AE1017" s="138">
        <v>0.11269173273981201</v>
      </c>
      <c r="AF1017" s="137">
        <f t="shared" si="229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hidden="1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987</v>
      </c>
      <c r="G1018" s="119" t="s">
        <v>987</v>
      </c>
      <c r="H1018" s="119" t="s">
        <v>987</v>
      </c>
      <c r="I1018" s="119" t="s">
        <v>168</v>
      </c>
      <c r="J1018" s="119" t="s">
        <v>169</v>
      </c>
      <c r="K1018" s="119" t="s">
        <v>170</v>
      </c>
      <c r="L1018" s="119" t="s">
        <v>987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9"/>
        <v>0</v>
      </c>
      <c r="U1018" s="137">
        <f t="shared" si="213"/>
        <v>70000</v>
      </c>
      <c r="V1018" s="137">
        <v>70000</v>
      </c>
      <c r="W1018" s="137">
        <f t="shared" si="214"/>
        <v>0</v>
      </c>
      <c r="X1018" s="137">
        <f t="shared" si="210"/>
        <v>0</v>
      </c>
      <c r="Y1018" s="137">
        <f t="shared" si="215"/>
        <v>0</v>
      </c>
      <c r="Z1018" s="137">
        <v>69997.600000000006</v>
      </c>
      <c r="AA1018" s="137">
        <f t="shared" si="211"/>
        <v>2.3999999999941792</v>
      </c>
      <c r="AB1018" s="146">
        <f t="shared" ref="AB1018:AB1050" si="232">IF(O1018="返货",Z1018/(1+N1018),IF(O1018="返现",Z1018,IF(O1018="折扣",Z1018*N1018,IF(O1018="无",Z1018))))</f>
        <v>69997.600000000006</v>
      </c>
      <c r="AC1018" s="147">
        <f t="shared" si="212"/>
        <v>0</v>
      </c>
      <c r="AD1018" s="137">
        <f t="shared" si="231"/>
        <v>62863.192958989173</v>
      </c>
      <c r="AE1018" s="138">
        <v>0.11269173273981201</v>
      </c>
      <c r="AF1018" s="137">
        <f t="shared" si="229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hidden="1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771</v>
      </c>
      <c r="G1019" s="119" t="s">
        <v>771</v>
      </c>
      <c r="H1019" s="119" t="s">
        <v>771</v>
      </c>
      <c r="I1019" s="119" t="s">
        <v>168</v>
      </c>
      <c r="J1019" s="119" t="s">
        <v>600</v>
      </c>
      <c r="K1019" s="119" t="s">
        <v>879</v>
      </c>
      <c r="L1019" s="119" t="s">
        <v>771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9"/>
        <v>0</v>
      </c>
      <c r="U1019" s="137">
        <f t="shared" si="213"/>
        <v>170000</v>
      </c>
      <c r="V1019" s="137">
        <v>130000</v>
      </c>
      <c r="W1019" s="137">
        <f t="shared" si="214"/>
        <v>40000</v>
      </c>
      <c r="X1019" s="137">
        <f t="shared" si="210"/>
        <v>40000</v>
      </c>
      <c r="Y1019" s="137">
        <f t="shared" si="215"/>
        <v>0</v>
      </c>
      <c r="Z1019" s="137">
        <v>169998.2</v>
      </c>
      <c r="AA1019" s="137">
        <f t="shared" si="211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2"/>
        <v>-1.7999999999883585</v>
      </c>
      <c r="AD1019" s="137">
        <v>169998.2</v>
      </c>
      <c r="AE1019" s="138">
        <v>0.1</v>
      </c>
      <c r="AF1019" s="137">
        <f t="shared" si="229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hidden="1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988</v>
      </c>
      <c r="G1020" s="119" t="s">
        <v>988</v>
      </c>
      <c r="H1020" s="119" t="s">
        <v>988</v>
      </c>
      <c r="I1020" s="119" t="s">
        <v>168</v>
      </c>
      <c r="J1020" s="119" t="s">
        <v>169</v>
      </c>
      <c r="K1020" s="119" t="s">
        <v>170</v>
      </c>
      <c r="L1020" s="119" t="s">
        <v>988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9"/>
        <v>0</v>
      </c>
      <c r="U1020" s="137">
        <f t="shared" si="213"/>
        <v>50000</v>
      </c>
      <c r="V1020" s="137">
        <v>50000</v>
      </c>
      <c r="W1020" s="137">
        <f t="shared" si="214"/>
        <v>0</v>
      </c>
      <c r="X1020" s="137">
        <f t="shared" si="210"/>
        <v>0</v>
      </c>
      <c r="Y1020" s="137">
        <f t="shared" si="215"/>
        <v>0</v>
      </c>
      <c r="Z1020" s="137">
        <v>49979.1</v>
      </c>
      <c r="AA1020" s="137">
        <f t="shared" si="211"/>
        <v>20.900000000001455</v>
      </c>
      <c r="AB1020" s="146">
        <f t="shared" si="232"/>
        <v>49979.1</v>
      </c>
      <c r="AC1020" s="147">
        <f t="shared" si="212"/>
        <v>0</v>
      </c>
      <c r="AD1020" s="137">
        <f t="shared" ref="AD1020:AD1024" si="233">(Z1020-Q1020)*0.89807640489087</f>
        <v>44885.050447681278</v>
      </c>
      <c r="AE1020" s="138">
        <v>0.11269173273981201</v>
      </c>
      <c r="AF1020" s="137">
        <f t="shared" si="229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hidden="1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989</v>
      </c>
      <c r="G1021" s="119" t="s">
        <v>989</v>
      </c>
      <c r="H1021" s="119" t="s">
        <v>989</v>
      </c>
      <c r="I1021" s="119" t="s">
        <v>168</v>
      </c>
      <c r="J1021" s="119" t="s">
        <v>169</v>
      </c>
      <c r="K1021" s="119" t="s">
        <v>170</v>
      </c>
      <c r="L1021" s="119" t="s">
        <v>989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9"/>
        <v>2400</v>
      </c>
      <c r="U1021" s="137">
        <f t="shared" si="213"/>
        <v>122400</v>
      </c>
      <c r="V1021" s="137">
        <v>131172.12</v>
      </c>
      <c r="W1021" s="137">
        <f t="shared" si="214"/>
        <v>-8772.1199999999953</v>
      </c>
      <c r="X1021" s="137">
        <f t="shared" si="210"/>
        <v>-8600.117647058818</v>
      </c>
      <c r="Y1021" s="137">
        <f t="shared" si="215"/>
        <v>-172.00235294117738</v>
      </c>
      <c r="Z1021" s="137">
        <v>109129.2</v>
      </c>
      <c r="AA1021" s="137">
        <f t="shared" si="211"/>
        <v>22042.92</v>
      </c>
      <c r="AB1021" s="146">
        <f t="shared" si="232"/>
        <v>106989.41176470587</v>
      </c>
      <c r="AC1021" s="147">
        <f t="shared" si="212"/>
        <v>2139.7882352941233</v>
      </c>
      <c r="AD1021" s="137">
        <f t="shared" si="233"/>
        <v>98006.359604616737</v>
      </c>
      <c r="AE1021" s="138">
        <v>0.11269173273981201</v>
      </c>
      <c r="AF1021" s="137">
        <f t="shared" si="229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hidden="1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990</v>
      </c>
      <c r="G1022" s="119" t="s">
        <v>990</v>
      </c>
      <c r="H1022" s="119" t="s">
        <v>990</v>
      </c>
      <c r="I1022" s="119" t="s">
        <v>168</v>
      </c>
      <c r="J1022" s="119" t="s">
        <v>169</v>
      </c>
      <c r="K1022" s="119" t="s">
        <v>170</v>
      </c>
      <c r="L1022" s="119" t="s">
        <v>990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9"/>
        <v>769.23080000000004</v>
      </c>
      <c r="U1022" s="137">
        <f t="shared" si="213"/>
        <v>20000.000800000002</v>
      </c>
      <c r="V1022" s="137">
        <v>20000</v>
      </c>
      <c r="W1022" s="137">
        <f t="shared" si="214"/>
        <v>8.0000000161817297E-4</v>
      </c>
      <c r="X1022" s="137">
        <f t="shared" si="210"/>
        <v>7.6923077078670473E-4</v>
      </c>
      <c r="Y1022" s="137">
        <f t="shared" si="215"/>
        <v>3.0769230831468241E-5</v>
      </c>
      <c r="Z1022" s="137">
        <v>19997.599999999999</v>
      </c>
      <c r="AA1022" s="137">
        <f t="shared" si="211"/>
        <v>2.4000000000014552</v>
      </c>
      <c r="AB1022" s="146">
        <f t="shared" si="232"/>
        <v>19228.461538461535</v>
      </c>
      <c r="AC1022" s="147">
        <f t="shared" si="212"/>
        <v>769.13846153846316</v>
      </c>
      <c r="AD1022" s="137">
        <f t="shared" si="233"/>
        <v>17959.372714445661</v>
      </c>
      <c r="AE1022" s="138">
        <v>0.11269173273981201</v>
      </c>
      <c r="AF1022" s="137">
        <f t="shared" si="229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484</v>
      </c>
      <c r="G1023" s="119" t="s">
        <v>484</v>
      </c>
      <c r="H1023" s="119" t="s">
        <v>484</v>
      </c>
      <c r="I1023" s="119" t="s">
        <v>168</v>
      </c>
      <c r="J1023" s="119" t="s">
        <v>169</v>
      </c>
      <c r="K1023" s="119" t="s">
        <v>170</v>
      </c>
      <c r="L1023" s="119" t="s">
        <v>484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9"/>
        <v>0</v>
      </c>
      <c r="U1023" s="137">
        <f t="shared" si="213"/>
        <v>10000</v>
      </c>
      <c r="V1023" s="137">
        <v>10000</v>
      </c>
      <c r="W1023" s="137">
        <f t="shared" si="214"/>
        <v>0</v>
      </c>
      <c r="X1023" s="137">
        <f t="shared" si="210"/>
        <v>0</v>
      </c>
      <c r="Y1023" s="137">
        <f t="shared" si="215"/>
        <v>0</v>
      </c>
      <c r="Z1023" s="137">
        <v>2524.4</v>
      </c>
      <c r="AA1023" s="137">
        <f t="shared" si="211"/>
        <v>7475.6</v>
      </c>
      <c r="AB1023" s="146">
        <f t="shared" si="232"/>
        <v>2524.4</v>
      </c>
      <c r="AC1023" s="147">
        <f t="shared" si="212"/>
        <v>0</v>
      </c>
      <c r="AD1023" s="137">
        <f t="shared" si="233"/>
        <v>2267.1040765065122</v>
      </c>
      <c r="AE1023" s="138">
        <v>0.11269173273981201</v>
      </c>
      <c r="AF1023" s="137">
        <f t="shared" si="229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991</v>
      </c>
      <c r="G1024" s="119" t="s">
        <v>991</v>
      </c>
      <c r="H1024" s="119" t="s">
        <v>991</v>
      </c>
      <c r="I1024" s="119" t="s">
        <v>168</v>
      </c>
      <c r="J1024" s="119" t="s">
        <v>169</v>
      </c>
      <c r="K1024" s="119" t="s">
        <v>170</v>
      </c>
      <c r="L1024" s="119" t="s">
        <v>992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9"/>
        <v>600</v>
      </c>
      <c r="U1024" s="137">
        <f t="shared" si="213"/>
        <v>30600</v>
      </c>
      <c r="V1024" s="137">
        <v>30000</v>
      </c>
      <c r="W1024" s="137">
        <f t="shared" si="214"/>
        <v>600</v>
      </c>
      <c r="X1024" s="137">
        <f t="shared" si="210"/>
        <v>588.23529411764707</v>
      </c>
      <c r="Y1024" s="137">
        <f t="shared" si="215"/>
        <v>11.764705882352928</v>
      </c>
      <c r="Z1024" s="137">
        <v>20588.800000000003</v>
      </c>
      <c r="AA1024" s="137">
        <f t="shared" si="211"/>
        <v>9411.1999999999971</v>
      </c>
      <c r="AB1024" s="146">
        <f t="shared" si="232"/>
        <v>20185.098039215689</v>
      </c>
      <c r="AC1024" s="147">
        <f t="shared" si="212"/>
        <v>403.701960784314</v>
      </c>
      <c r="AD1024" s="137">
        <f t="shared" si="233"/>
        <v>18490.315485017149</v>
      </c>
      <c r="AE1024" s="138">
        <v>0.11269173273981201</v>
      </c>
      <c r="AF1024" s="137">
        <f t="shared" si="229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hidden="1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993</v>
      </c>
      <c r="G1025" s="119" t="s">
        <v>993</v>
      </c>
      <c r="H1025" s="119" t="s">
        <v>993</v>
      </c>
      <c r="I1025" s="119" t="s">
        <v>168</v>
      </c>
      <c r="J1025" s="119" t="s">
        <v>600</v>
      </c>
      <c r="K1025" s="119" t="s">
        <v>879</v>
      </c>
      <c r="L1025" s="119" t="s">
        <v>993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9"/>
        <v>1000</v>
      </c>
      <c r="U1025" s="137">
        <f t="shared" si="213"/>
        <v>51000</v>
      </c>
      <c r="V1025" s="137">
        <v>50000</v>
      </c>
      <c r="W1025" s="137">
        <f t="shared" si="214"/>
        <v>1000</v>
      </c>
      <c r="X1025" s="137">
        <f t="shared" si="210"/>
        <v>980.39215686274508</v>
      </c>
      <c r="Y1025" s="137">
        <f t="shared" si="215"/>
        <v>19.607843137254918</v>
      </c>
      <c r="Z1025" s="137">
        <v>19723.099999999999</v>
      </c>
      <c r="AA1025" s="137">
        <f t="shared" si="211"/>
        <v>30276.9</v>
      </c>
      <c r="AB1025" s="146">
        <f t="shared" si="232"/>
        <v>19336.372549019605</v>
      </c>
      <c r="AC1025" s="147">
        <f t="shared" si="212"/>
        <v>386.72745098039377</v>
      </c>
      <c r="AD1025" s="137">
        <v>19723.099999999999</v>
      </c>
      <c r="AE1025" s="138">
        <v>0.1</v>
      </c>
      <c r="AF1025" s="137">
        <f t="shared" si="229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hidden="1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993</v>
      </c>
      <c r="G1026" s="119" t="s">
        <v>993</v>
      </c>
      <c r="H1026" s="119" t="s">
        <v>993</v>
      </c>
      <c r="I1026" s="119" t="s">
        <v>168</v>
      </c>
      <c r="J1026" s="119" t="s">
        <v>861</v>
      </c>
      <c r="K1026" s="119" t="s">
        <v>862</v>
      </c>
      <c r="L1026" s="119" t="s">
        <v>993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4">S1026*N1026</f>
        <v>200</v>
      </c>
      <c r="U1026" s="137">
        <f t="shared" si="213"/>
        <v>10200</v>
      </c>
      <c r="V1026" s="137">
        <v>10000</v>
      </c>
      <c r="W1026" s="137">
        <f t="shared" si="214"/>
        <v>200</v>
      </c>
      <c r="X1026" s="137">
        <f t="shared" ref="X1026:X1089" si="235">W1026/(1+N1026)</f>
        <v>196.07843137254901</v>
      </c>
      <c r="Y1026" s="137">
        <f t="shared" si="215"/>
        <v>3.9215686274509949</v>
      </c>
      <c r="Z1026" s="137">
        <v>9997.2999999999993</v>
      </c>
      <c r="AA1026" s="137">
        <f t="shared" ref="AA1026:AA1089" si="236">Q1026+V1026-Z1026</f>
        <v>2.7000000000007276</v>
      </c>
      <c r="AB1026" s="146">
        <f t="shared" si="232"/>
        <v>9801.2745098039213</v>
      </c>
      <c r="AC1026" s="147">
        <f t="shared" ref="AC1026:AC1089" si="237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9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hidden="1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994</v>
      </c>
      <c r="G1027" s="119" t="s">
        <v>994</v>
      </c>
      <c r="H1027" s="119" t="s">
        <v>994</v>
      </c>
      <c r="I1027" s="119" t="s">
        <v>168</v>
      </c>
      <c r="J1027" s="119" t="s">
        <v>169</v>
      </c>
      <c r="K1027" s="119" t="s">
        <v>170</v>
      </c>
      <c r="L1027" s="119" t="s">
        <v>995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4"/>
        <v>0</v>
      </c>
      <c r="U1027" s="137">
        <f t="shared" ref="U1027:U1090" si="238">R1027+S1027+T1027</f>
        <v>60000</v>
      </c>
      <c r="V1027" s="137">
        <v>60000</v>
      </c>
      <c r="W1027" s="137">
        <f t="shared" ref="W1027:W1090" si="239">U1027-V1027</f>
        <v>0</v>
      </c>
      <c r="X1027" s="137">
        <f t="shared" si="235"/>
        <v>0</v>
      </c>
      <c r="Y1027" s="137">
        <f t="shared" ref="Y1027:Y1090" si="240">W1027-X1027</f>
        <v>0</v>
      </c>
      <c r="Z1027" s="137">
        <v>59999.6</v>
      </c>
      <c r="AA1027" s="137">
        <f t="shared" si="236"/>
        <v>0.40000000000145519</v>
      </c>
      <c r="AB1027" s="146">
        <f t="shared" si="232"/>
        <v>59999.6</v>
      </c>
      <c r="AC1027" s="147">
        <f t="shared" si="237"/>
        <v>0</v>
      </c>
      <c r="AD1027" s="137">
        <f t="shared" ref="AD1027:AD1028" si="241">(Z1027-Q1027)*0.89807640489087</f>
        <v>53884.225062890248</v>
      </c>
      <c r="AE1027" s="138">
        <v>0.11269173273981201</v>
      </c>
      <c r="AF1027" s="137">
        <f t="shared" si="229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hidden="1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486</v>
      </c>
      <c r="G1028" s="119" t="s">
        <v>486</v>
      </c>
      <c r="H1028" s="119" t="s">
        <v>486</v>
      </c>
      <c r="I1028" s="119" t="s">
        <v>168</v>
      </c>
      <c r="J1028" s="119" t="s">
        <v>169</v>
      </c>
      <c r="K1028" s="119" t="s">
        <v>170</v>
      </c>
      <c r="L1028" s="119" t="s">
        <v>486</v>
      </c>
      <c r="M1028" s="119" t="s">
        <v>45</v>
      </c>
      <c r="N1028" s="136">
        <v>7.0000000000000007E-2</v>
      </c>
      <c r="O1028" s="135" t="s">
        <v>50</v>
      </c>
      <c r="P1028" s="135" t="s">
        <v>437</v>
      </c>
      <c r="Q1028" s="137">
        <v>0</v>
      </c>
      <c r="R1028" s="137">
        <v>0</v>
      </c>
      <c r="S1028" s="137">
        <v>3071556.54</v>
      </c>
      <c r="T1028" s="137">
        <f t="shared" si="234"/>
        <v>215008.95780000003</v>
      </c>
      <c r="U1028" s="137">
        <f t="shared" si="238"/>
        <v>3286565.4978</v>
      </c>
      <c r="V1028" s="137">
        <v>3237400</v>
      </c>
      <c r="W1028" s="137">
        <f t="shared" si="239"/>
        <v>49165.497800000012</v>
      </c>
      <c r="X1028" s="137">
        <f t="shared" si="235"/>
        <v>45949.063364485992</v>
      </c>
      <c r="Y1028" s="137">
        <f t="shared" si="240"/>
        <v>3216.4344355140202</v>
      </c>
      <c r="Z1028" s="137">
        <f>2673935-Z1166</f>
        <v>969535</v>
      </c>
      <c r="AA1028" s="137">
        <f t="shared" si="236"/>
        <v>2267865</v>
      </c>
      <c r="AB1028" s="146">
        <f t="shared" si="232"/>
        <v>906107.47663551394</v>
      </c>
      <c r="AC1028" s="147">
        <f t="shared" si="237"/>
        <v>63427.523364486056</v>
      </c>
      <c r="AD1028" s="137">
        <f t="shared" si="241"/>
        <v>870716.50721586973</v>
      </c>
      <c r="AE1028" s="138">
        <v>0.11269173273981201</v>
      </c>
      <c r="AF1028" s="137">
        <f t="shared" si="229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hidden="1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488</v>
      </c>
      <c r="G1029" s="119" t="s">
        <v>489</v>
      </c>
      <c r="H1029" s="119" t="s">
        <v>489</v>
      </c>
      <c r="I1029" s="119" t="s">
        <v>168</v>
      </c>
      <c r="J1029" s="119" t="s">
        <v>169</v>
      </c>
      <c r="K1029" s="119" t="s">
        <v>170</v>
      </c>
      <c r="L1029" s="119" t="s">
        <v>560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4"/>
        <v>380.53040000000004</v>
      </c>
      <c r="U1029" s="137">
        <f t="shared" si="238"/>
        <v>9893.7903999999999</v>
      </c>
      <c r="V1029" s="137">
        <v>9513.26</v>
      </c>
      <c r="W1029" s="137">
        <f t="shared" si="239"/>
        <v>380.53039999999964</v>
      </c>
      <c r="X1029" s="137">
        <f t="shared" si="235"/>
        <v>365.89461538461501</v>
      </c>
      <c r="Y1029" s="137">
        <f t="shared" si="240"/>
        <v>14.635784615384637</v>
      </c>
      <c r="Z1029" s="137">
        <v>9513.26</v>
      </c>
      <c r="AA1029" s="137">
        <f t="shared" si="236"/>
        <v>0</v>
      </c>
      <c r="AB1029" s="146">
        <f t="shared" si="232"/>
        <v>9147.3653846153848</v>
      </c>
      <c r="AC1029" s="147">
        <f t="shared" si="237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9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hidden="1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788</v>
      </c>
      <c r="G1030" s="119" t="s">
        <v>788</v>
      </c>
      <c r="H1030" s="119" t="s">
        <v>788</v>
      </c>
      <c r="I1030" s="119" t="s">
        <v>168</v>
      </c>
      <c r="J1030" s="119" t="s">
        <v>169</v>
      </c>
      <c r="K1030" s="119" t="s">
        <v>170</v>
      </c>
      <c r="L1030" s="119" t="s">
        <v>788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4"/>
        <v>600</v>
      </c>
      <c r="U1030" s="137">
        <f t="shared" si="238"/>
        <v>30600</v>
      </c>
      <c r="V1030" s="137">
        <v>30000</v>
      </c>
      <c r="W1030" s="137">
        <f t="shared" si="239"/>
        <v>600</v>
      </c>
      <c r="X1030" s="137">
        <f t="shared" si="235"/>
        <v>588.23529411764707</v>
      </c>
      <c r="Y1030" s="137">
        <f t="shared" si="240"/>
        <v>11.764705882352928</v>
      </c>
      <c r="Z1030" s="137">
        <v>833.5</v>
      </c>
      <c r="AA1030" s="137">
        <f t="shared" si="236"/>
        <v>29166.5</v>
      </c>
      <c r="AB1030" s="146">
        <f t="shared" si="232"/>
        <v>817.15686274509801</v>
      </c>
      <c r="AC1030" s="147">
        <f t="shared" si="237"/>
        <v>16.34313725490199</v>
      </c>
      <c r="AD1030" s="137">
        <f t="shared" ref="AD1030:AD1038" si="242">(Z1030-Q1030)*0.89807640489087</f>
        <v>748.54668347654012</v>
      </c>
      <c r="AE1030" s="138">
        <v>0.11269173273981201</v>
      </c>
      <c r="AF1030" s="137">
        <f t="shared" si="229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hidden="1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996</v>
      </c>
      <c r="G1031" s="119" t="s">
        <v>996</v>
      </c>
      <c r="H1031" s="119" t="s">
        <v>996</v>
      </c>
      <c r="I1031" s="119" t="s">
        <v>168</v>
      </c>
      <c r="J1031" s="119" t="s">
        <v>169</v>
      </c>
      <c r="K1031" s="119" t="s">
        <v>170</v>
      </c>
      <c r="L1031" s="119" t="s">
        <v>996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4"/>
        <v>800</v>
      </c>
      <c r="U1031" s="137">
        <f t="shared" si="238"/>
        <v>40800</v>
      </c>
      <c r="V1031" s="137">
        <v>20000</v>
      </c>
      <c r="W1031" s="137">
        <f t="shared" si="239"/>
        <v>20800</v>
      </c>
      <c r="X1031" s="137">
        <f t="shared" si="235"/>
        <v>20392.156862745098</v>
      </c>
      <c r="Y1031" s="137">
        <f t="shared" si="240"/>
        <v>407.8431372549021</v>
      </c>
      <c r="Z1031" s="137">
        <v>17729.400000000001</v>
      </c>
      <c r="AA1031" s="137">
        <f t="shared" si="236"/>
        <v>2270.5999999999985</v>
      </c>
      <c r="AB1031" s="146">
        <f t="shared" si="232"/>
        <v>17381.764705882353</v>
      </c>
      <c r="AC1031" s="147">
        <f t="shared" si="237"/>
        <v>347.6352941176483</v>
      </c>
      <c r="AD1031" s="137">
        <f t="shared" si="242"/>
        <v>15922.355812872192</v>
      </c>
      <c r="AE1031" s="138">
        <v>0.11269173273981201</v>
      </c>
      <c r="AF1031" s="137">
        <f t="shared" si="229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hidden="1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4"/>
        <v>6700</v>
      </c>
      <c r="U1032" s="137">
        <f t="shared" si="238"/>
        <v>341700</v>
      </c>
      <c r="V1032" s="137">
        <v>335000</v>
      </c>
      <c r="W1032" s="137">
        <f t="shared" si="239"/>
        <v>6700</v>
      </c>
      <c r="X1032" s="137">
        <f t="shared" si="235"/>
        <v>6568.6274509803925</v>
      </c>
      <c r="Y1032" s="137">
        <f t="shared" si="240"/>
        <v>131.3725490196075</v>
      </c>
      <c r="Z1032" s="137">
        <v>33461.099999999977</v>
      </c>
      <c r="AA1032" s="137">
        <f t="shared" si="236"/>
        <v>301538.90000000002</v>
      </c>
      <c r="AB1032" s="146">
        <f t="shared" si="232"/>
        <v>32804.999999999978</v>
      </c>
      <c r="AC1032" s="147">
        <f t="shared" si="237"/>
        <v>656.09999999999854</v>
      </c>
      <c r="AD1032" s="137">
        <f t="shared" si="242"/>
        <v>30050.624391693869</v>
      </c>
      <c r="AE1032" s="138">
        <v>0.11269173273981201</v>
      </c>
      <c r="AF1032" s="137">
        <f t="shared" si="229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hidden="1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790</v>
      </c>
      <c r="H1033" s="119" t="s">
        <v>790</v>
      </c>
      <c r="I1033" s="119" t="s">
        <v>168</v>
      </c>
      <c r="J1033" s="119" t="s">
        <v>169</v>
      </c>
      <c r="K1033" s="119" t="s">
        <v>170</v>
      </c>
      <c r="L1033" s="119" t="s">
        <v>997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4"/>
        <v>2900</v>
      </c>
      <c r="U1033" s="137">
        <f t="shared" si="238"/>
        <v>147900</v>
      </c>
      <c r="V1033" s="137">
        <v>147600</v>
      </c>
      <c r="W1033" s="137">
        <f t="shared" si="239"/>
        <v>300</v>
      </c>
      <c r="X1033" s="137">
        <f t="shared" si="235"/>
        <v>294.11764705882354</v>
      </c>
      <c r="Y1033" s="137">
        <f t="shared" si="240"/>
        <v>5.8823529411764639</v>
      </c>
      <c r="Z1033" s="137">
        <v>138153.60000000001</v>
      </c>
      <c r="AA1033" s="137">
        <f t="shared" si="236"/>
        <v>9446.3999999999942</v>
      </c>
      <c r="AB1033" s="146">
        <f t="shared" si="232"/>
        <v>135444.70588235295</v>
      </c>
      <c r="AC1033" s="147">
        <f t="shared" si="237"/>
        <v>2708.8941176470544</v>
      </c>
      <c r="AD1033" s="137">
        <f t="shared" si="242"/>
        <v>124072.48841073131</v>
      </c>
      <c r="AE1033" s="138">
        <v>0.11269173273981201</v>
      </c>
      <c r="AF1033" s="137">
        <f t="shared" si="229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hidden="1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791</v>
      </c>
      <c r="G1034" s="119" t="s">
        <v>791</v>
      </c>
      <c r="H1034" s="119" t="s">
        <v>791</v>
      </c>
      <c r="I1034" s="119" t="s">
        <v>168</v>
      </c>
      <c r="J1034" s="119" t="s">
        <v>169</v>
      </c>
      <c r="K1034" s="119" t="s">
        <v>170</v>
      </c>
      <c r="L1034" s="119" t="s">
        <v>791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4"/>
        <v>1000</v>
      </c>
      <c r="U1034" s="137">
        <f t="shared" si="238"/>
        <v>51000</v>
      </c>
      <c r="V1034" s="137">
        <v>50341.48</v>
      </c>
      <c r="W1034" s="137">
        <f t="shared" si="239"/>
        <v>658.5199999999968</v>
      </c>
      <c r="X1034" s="137">
        <f t="shared" si="235"/>
        <v>645.60784313725173</v>
      </c>
      <c r="Y1034" s="137">
        <f t="shared" si="240"/>
        <v>12.912156862745064</v>
      </c>
      <c r="Z1034" s="137">
        <v>43350.7</v>
      </c>
      <c r="AA1034" s="137">
        <f t="shared" si="236"/>
        <v>6990.7800000000061</v>
      </c>
      <c r="AB1034" s="146">
        <f>Z1034/1.09/(1+N1034)</f>
        <v>38991.455297715409</v>
      </c>
      <c r="AC1034" s="147">
        <f t="shared" si="237"/>
        <v>4359.2447022845881</v>
      </c>
      <c r="AD1034" s="137">
        <f t="shared" si="242"/>
        <v>38932.240805502639</v>
      </c>
      <c r="AE1034" s="138">
        <v>0.11269173273981201</v>
      </c>
      <c r="AF1034" s="137">
        <f t="shared" si="229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hidden="1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998</v>
      </c>
      <c r="G1035" s="119" t="s">
        <v>998</v>
      </c>
      <c r="H1035" s="119" t="s">
        <v>998</v>
      </c>
      <c r="I1035" s="119" t="s">
        <v>168</v>
      </c>
      <c r="J1035" s="119" t="s">
        <v>169</v>
      </c>
      <c r="K1035" s="119" t="s">
        <v>170</v>
      </c>
      <c r="L1035" s="119" t="s">
        <v>998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4"/>
        <v>200</v>
      </c>
      <c r="U1035" s="137">
        <f t="shared" si="238"/>
        <v>10200</v>
      </c>
      <c r="V1035" s="137">
        <v>10200</v>
      </c>
      <c r="W1035" s="137">
        <f t="shared" si="239"/>
        <v>0</v>
      </c>
      <c r="X1035" s="137">
        <f t="shared" si="235"/>
        <v>0</v>
      </c>
      <c r="Y1035" s="137">
        <f t="shared" si="240"/>
        <v>0</v>
      </c>
      <c r="Z1035" s="137">
        <v>9995.6</v>
      </c>
      <c r="AA1035" s="137">
        <f t="shared" si="236"/>
        <v>204.39999999999964</v>
      </c>
      <c r="AB1035" s="146">
        <f t="shared" si="232"/>
        <v>9799.6078431372553</v>
      </c>
      <c r="AC1035" s="147">
        <f t="shared" si="237"/>
        <v>195.99215686274511</v>
      </c>
      <c r="AD1035" s="137">
        <f t="shared" si="242"/>
        <v>8976.8125127271815</v>
      </c>
      <c r="AE1035" s="138">
        <v>0.11269173273981201</v>
      </c>
      <c r="AF1035" s="137">
        <f t="shared" si="229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hidden="1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4"/>
        <v>400</v>
      </c>
      <c r="U1036" s="137">
        <f t="shared" si="238"/>
        <v>20400</v>
      </c>
      <c r="V1036" s="137">
        <v>22892.89</v>
      </c>
      <c r="W1036" s="137">
        <f t="shared" si="239"/>
        <v>-2492.8899999999994</v>
      </c>
      <c r="X1036" s="137">
        <f t="shared" si="235"/>
        <v>-2444.0098039215682</v>
      </c>
      <c r="Y1036" s="137">
        <f t="shared" si="240"/>
        <v>-48.880196078431254</v>
      </c>
      <c r="Z1036" s="137">
        <v>21495.3</v>
      </c>
      <c r="AA1036" s="137">
        <f t="shared" si="236"/>
        <v>1397.5900000000001</v>
      </c>
      <c r="AB1036" s="146">
        <f t="shared" si="232"/>
        <v>21073.823529411762</v>
      </c>
      <c r="AC1036" s="147">
        <f t="shared" si="237"/>
        <v>421.47647058823713</v>
      </c>
      <c r="AD1036" s="137">
        <f t="shared" si="242"/>
        <v>19304.421746050717</v>
      </c>
      <c r="AE1036" s="138">
        <v>0.11269173273981201</v>
      </c>
      <c r="AF1036" s="137">
        <f t="shared" si="229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hidden="1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999</v>
      </c>
      <c r="G1037" s="119" t="s">
        <v>999</v>
      </c>
      <c r="H1037" s="119" t="s">
        <v>999</v>
      </c>
      <c r="I1037" s="119" t="s">
        <v>168</v>
      </c>
      <c r="J1037" s="119" t="s">
        <v>169</v>
      </c>
      <c r="K1037" s="119" t="s">
        <v>170</v>
      </c>
      <c r="L1037" s="119" t="s">
        <v>1000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4"/>
        <v>600</v>
      </c>
      <c r="U1037" s="137">
        <f t="shared" si="238"/>
        <v>10600</v>
      </c>
      <c r="V1037" s="137">
        <v>10000</v>
      </c>
      <c r="W1037" s="137">
        <f t="shared" si="239"/>
        <v>600</v>
      </c>
      <c r="X1037" s="137">
        <f t="shared" si="235"/>
        <v>566.03773584905662</v>
      </c>
      <c r="Y1037" s="137">
        <f t="shared" si="240"/>
        <v>33.962264150943383</v>
      </c>
      <c r="Z1037" s="137">
        <v>4651.8999999999996</v>
      </c>
      <c r="AA1037" s="137">
        <f t="shared" si="236"/>
        <v>5348.1</v>
      </c>
      <c r="AB1037" s="146">
        <f t="shared" si="232"/>
        <v>4388.5849056603765</v>
      </c>
      <c r="AC1037" s="147">
        <f t="shared" si="237"/>
        <v>263.3150943396231</v>
      </c>
      <c r="AD1037" s="137">
        <f t="shared" si="242"/>
        <v>4177.7616279118383</v>
      </c>
      <c r="AE1037" s="138">
        <v>0.11269173273981201</v>
      </c>
      <c r="AF1037" s="137">
        <f t="shared" si="229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498</v>
      </c>
      <c r="G1038" s="119" t="s">
        <v>498</v>
      </c>
      <c r="H1038" s="119" t="s">
        <v>498</v>
      </c>
      <c r="I1038" s="119" t="s">
        <v>168</v>
      </c>
      <c r="J1038" s="119" t="s">
        <v>169</v>
      </c>
      <c r="K1038" s="119" t="s">
        <v>170</v>
      </c>
      <c r="L1038" s="119" t="s">
        <v>498</v>
      </c>
      <c r="M1038" s="119" t="s">
        <v>45</v>
      </c>
      <c r="N1038" s="136">
        <v>0.96</v>
      </c>
      <c r="O1038" s="135" t="s">
        <v>1702</v>
      </c>
      <c r="P1038" s="135"/>
      <c r="Q1038" s="137">
        <v>114227.8</v>
      </c>
      <c r="R1038" s="137">
        <v>0</v>
      </c>
      <c r="S1038" s="137">
        <v>1180800</v>
      </c>
      <c r="T1038" s="137">
        <f t="shared" si="234"/>
        <v>1133568</v>
      </c>
      <c r="U1038" s="137">
        <f t="shared" si="238"/>
        <v>2314368</v>
      </c>
      <c r="V1038" s="137">
        <v>1230000</v>
      </c>
      <c r="W1038" s="137">
        <f t="shared" si="239"/>
        <v>1084368</v>
      </c>
      <c r="X1038" s="137">
        <f t="shared" si="235"/>
        <v>553248.97959183669</v>
      </c>
      <c r="Y1038" s="137">
        <f t="shared" si="240"/>
        <v>531119.02040816331</v>
      </c>
      <c r="Z1038" s="137">
        <v>1158229.3</v>
      </c>
      <c r="AA1038" s="137">
        <f t="shared" si="236"/>
        <v>185998.5</v>
      </c>
      <c r="AB1038" s="146">
        <f>IF(O1038="返货",Z1038/(1+N1038),IF(O1038="返现",Z1038,IF(O1038="折扣",(Z1038-Q1038)*N1038,IF(O1038="无",Z1038))))</f>
        <v>1002241.44</v>
      </c>
      <c r="AC1038" s="147">
        <f t="shared" si="237"/>
        <v>155987.8600000001</v>
      </c>
      <c r="AD1038" s="137">
        <f t="shared" si="242"/>
        <v>937593.11382067564</v>
      </c>
      <c r="AE1038" s="138">
        <v>0.11269173273981201</v>
      </c>
      <c r="AF1038" s="137">
        <f t="shared" si="229"/>
        <v>105658.99260136772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hidden="1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523</v>
      </c>
      <c r="G1039" s="119" t="s">
        <v>523</v>
      </c>
      <c r="H1039" s="119" t="s">
        <v>523</v>
      </c>
      <c r="I1039" s="131" t="s">
        <v>241</v>
      </c>
      <c r="J1039" s="119" t="s">
        <v>242</v>
      </c>
      <c r="K1039" s="119" t="s">
        <v>243</v>
      </c>
      <c r="L1039" s="119" t="s">
        <v>523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4"/>
        <v>0</v>
      </c>
      <c r="U1039" s="137">
        <f t="shared" si="238"/>
        <v>300000</v>
      </c>
      <c r="V1039" s="137">
        <v>270000</v>
      </c>
      <c r="W1039" s="137">
        <f t="shared" si="239"/>
        <v>30000</v>
      </c>
      <c r="X1039" s="137">
        <f t="shared" si="235"/>
        <v>30000</v>
      </c>
      <c r="Y1039" s="137">
        <f t="shared" si="240"/>
        <v>0</v>
      </c>
      <c r="Z1039" s="137">
        <v>279569.34999999998</v>
      </c>
      <c r="AA1039" s="137">
        <f t="shared" si="236"/>
        <v>-9569.3499999999767</v>
      </c>
      <c r="AB1039" s="146">
        <f t="shared" si="232"/>
        <v>279569.34999999998</v>
      </c>
      <c r="AC1039" s="147">
        <f t="shared" si="237"/>
        <v>0</v>
      </c>
      <c r="AD1039" s="137">
        <v>234353.914409524</v>
      </c>
      <c r="AE1039" s="138">
        <v>0.17647058823529399</v>
      </c>
      <c r="AF1039" s="137">
        <f t="shared" si="229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568</v>
      </c>
      <c r="G1040" s="119" t="s">
        <v>568</v>
      </c>
      <c r="H1040" s="119" t="s">
        <v>568</v>
      </c>
      <c r="I1040" s="119" t="s">
        <v>168</v>
      </c>
      <c r="J1040" s="119" t="s">
        <v>169</v>
      </c>
      <c r="K1040" s="119" t="s">
        <v>170</v>
      </c>
      <c r="L1040" s="119" t="s">
        <v>568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4"/>
        <v>400</v>
      </c>
      <c r="U1040" s="137">
        <f t="shared" si="238"/>
        <v>10400</v>
      </c>
      <c r="V1040" s="137">
        <v>10400</v>
      </c>
      <c r="W1040" s="137">
        <f t="shared" si="239"/>
        <v>0</v>
      </c>
      <c r="X1040" s="137">
        <f t="shared" si="235"/>
        <v>0</v>
      </c>
      <c r="Y1040" s="137">
        <f t="shared" si="240"/>
        <v>0</v>
      </c>
      <c r="Z1040" s="137">
        <v>1995.4</v>
      </c>
      <c r="AA1040" s="137">
        <f t="shared" si="236"/>
        <v>8404.6</v>
      </c>
      <c r="AB1040" s="146">
        <f>IF(O1040="返货",Z1040/(1+N1040),IF(O1040="返现",Z1040,IF(O1040="折扣",Z1040*N1040,IF(O1040="无",Z1040))))+8404.6/(1+N1040)</f>
        <v>10000</v>
      </c>
      <c r="AC1040" s="147">
        <f t="shared" si="237"/>
        <v>-8004.6</v>
      </c>
      <c r="AD1040" s="137">
        <f>(Z1040-Q1040)*0.91072157793815</f>
        <v>1817.2538366177846</v>
      </c>
      <c r="AE1040" s="138">
        <v>0.11269173273981201</v>
      </c>
      <c r="AF1040" s="137">
        <f t="shared" si="229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hidden="1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4"/>
        <v>29406.234599999996</v>
      </c>
      <c r="U1041" s="137">
        <f t="shared" si="238"/>
        <v>519510.1446</v>
      </c>
      <c r="V1041" s="137">
        <v>510000</v>
      </c>
      <c r="W1041" s="137">
        <f t="shared" si="239"/>
        <v>9510.1445999999996</v>
      </c>
      <c r="X1041" s="137">
        <f t="shared" si="235"/>
        <v>8971.8345283018862</v>
      </c>
      <c r="Y1041" s="137">
        <f t="shared" si="240"/>
        <v>538.31007169811346</v>
      </c>
      <c r="Z1041" s="137">
        <v>419201.6</v>
      </c>
      <c r="AA1041" s="137">
        <f t="shared" si="236"/>
        <v>90798.400000000023</v>
      </c>
      <c r="AB1041" s="146">
        <f t="shared" si="232"/>
        <v>395473.20754716976</v>
      </c>
      <c r="AC1041" s="147">
        <f t="shared" si="237"/>
        <v>23728.392452830216</v>
      </c>
      <c r="AD1041" s="137">
        <f t="shared" ref="AD1041:AD1043" si="243">(Z1041-Q1041)*0.89807640489087</f>
        <v>376475.0658525005</v>
      </c>
      <c r="AE1041" s="138">
        <v>0.11269173273981201</v>
      </c>
      <c r="AF1041" s="137">
        <f t="shared" si="229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hidden="1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4"/>
        <v>200</v>
      </c>
      <c r="U1042" s="137">
        <f t="shared" si="238"/>
        <v>10200</v>
      </c>
      <c r="V1042" s="137">
        <v>10000</v>
      </c>
      <c r="W1042" s="137">
        <f t="shared" si="239"/>
        <v>200</v>
      </c>
      <c r="X1042" s="137">
        <f t="shared" si="235"/>
        <v>196.07843137254901</v>
      </c>
      <c r="Y1042" s="137">
        <f t="shared" si="240"/>
        <v>3.9215686274509949</v>
      </c>
      <c r="Z1042" s="137"/>
      <c r="AA1042" s="137">
        <f t="shared" si="236"/>
        <v>10000</v>
      </c>
      <c r="AB1042" s="146">
        <f t="shared" si="232"/>
        <v>0</v>
      </c>
      <c r="AC1042" s="147">
        <f t="shared" si="237"/>
        <v>0</v>
      </c>
      <c r="AD1042" s="137">
        <f t="shared" si="243"/>
        <v>0</v>
      </c>
      <c r="AE1042" s="138">
        <v>0.11269173273981201</v>
      </c>
      <c r="AF1042" s="137">
        <f t="shared" si="229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hidden="1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1001</v>
      </c>
      <c r="G1043" s="119" t="s">
        <v>1001</v>
      </c>
      <c r="H1043" s="119" t="s">
        <v>1001</v>
      </c>
      <c r="I1043" s="119" t="s">
        <v>168</v>
      </c>
      <c r="J1043" s="119" t="s">
        <v>169</v>
      </c>
      <c r="K1043" s="119" t="s">
        <v>170</v>
      </c>
      <c r="L1043" s="119" t="s">
        <v>992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4"/>
        <v>200</v>
      </c>
      <c r="U1043" s="137">
        <f t="shared" si="238"/>
        <v>10200</v>
      </c>
      <c r="V1043" s="137">
        <v>10061.6</v>
      </c>
      <c r="W1043" s="137">
        <f t="shared" si="239"/>
        <v>138.39999999999964</v>
      </c>
      <c r="X1043" s="137">
        <f t="shared" si="235"/>
        <v>135.68627450980355</v>
      </c>
      <c r="Y1043" s="137">
        <f t="shared" si="240"/>
        <v>2.713725490196083</v>
      </c>
      <c r="Z1043" s="137">
        <v>10061.6</v>
      </c>
      <c r="AA1043" s="137">
        <f t="shared" si="236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7"/>
        <v>61.600000000000364</v>
      </c>
      <c r="AD1043" s="137">
        <f t="shared" si="243"/>
        <v>9036.0855554499776</v>
      </c>
      <c r="AE1043" s="138">
        <v>0.11269173273981201</v>
      </c>
      <c r="AF1043" s="137">
        <f t="shared" si="229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hidden="1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4"/>
        <v>33000</v>
      </c>
      <c r="U1044" s="137">
        <f t="shared" si="238"/>
        <v>363000</v>
      </c>
      <c r="V1044" s="137">
        <v>310000</v>
      </c>
      <c r="W1044" s="137">
        <f t="shared" si="239"/>
        <v>53000</v>
      </c>
      <c r="X1044" s="137">
        <f t="shared" si="235"/>
        <v>48181.818181818177</v>
      </c>
      <c r="Y1044" s="137">
        <f t="shared" si="240"/>
        <v>4818.1818181818235</v>
      </c>
      <c r="Z1044" s="137">
        <v>317502.40000000002</v>
      </c>
      <c r="AA1044" s="137">
        <f t="shared" si="236"/>
        <v>-7502.4000000000233</v>
      </c>
      <c r="AB1044" s="146">
        <f t="shared" si="232"/>
        <v>288638.54545454547</v>
      </c>
      <c r="AC1044" s="147">
        <f t="shared" si="237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9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hidden="1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1002</v>
      </c>
      <c r="G1045" s="119" t="s">
        <v>1002</v>
      </c>
      <c r="H1045" s="119" t="s">
        <v>1002</v>
      </c>
      <c r="I1045" s="119" t="s">
        <v>168</v>
      </c>
      <c r="J1045" s="119" t="s">
        <v>169</v>
      </c>
      <c r="K1045" s="119" t="s">
        <v>170</v>
      </c>
      <c r="L1045" s="119" t="s">
        <v>1003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4"/>
        <v>380000</v>
      </c>
      <c r="U1045" s="137">
        <f t="shared" si="238"/>
        <v>19380000</v>
      </c>
      <c r="V1045" s="137">
        <v>19368000</v>
      </c>
      <c r="W1045" s="137">
        <f t="shared" si="239"/>
        <v>12000</v>
      </c>
      <c r="X1045" s="137">
        <f t="shared" si="235"/>
        <v>11764.705882352941</v>
      </c>
      <c r="Y1045" s="137">
        <f t="shared" si="240"/>
        <v>235.29411764705947</v>
      </c>
      <c r="Z1045" s="137">
        <v>19006595.5</v>
      </c>
      <c r="AA1045" s="137">
        <f t="shared" si="236"/>
        <v>361404.5</v>
      </c>
      <c r="AB1045" s="146">
        <f t="shared" si="232"/>
        <v>18633917.156862743</v>
      </c>
      <c r="AC1045" s="147">
        <f t="shared" si="237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9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hidden="1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1002</v>
      </c>
      <c r="G1046" s="119" t="s">
        <v>1002</v>
      </c>
      <c r="H1046" s="119" t="s">
        <v>1002</v>
      </c>
      <c r="I1046" s="119" t="s">
        <v>168</v>
      </c>
      <c r="J1046" s="119" t="s">
        <v>169</v>
      </c>
      <c r="K1046" s="119" t="s">
        <v>170</v>
      </c>
      <c r="L1046" s="119" t="s">
        <v>1004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4"/>
        <v>1200</v>
      </c>
      <c r="U1046" s="137">
        <f t="shared" si="238"/>
        <v>31200</v>
      </c>
      <c r="V1046" s="137">
        <v>30000</v>
      </c>
      <c r="W1046" s="137">
        <f t="shared" si="239"/>
        <v>1200</v>
      </c>
      <c r="X1046" s="137">
        <f t="shared" si="235"/>
        <v>1153.8461538461538</v>
      </c>
      <c r="Y1046" s="137">
        <f t="shared" si="240"/>
        <v>46.153846153846189</v>
      </c>
      <c r="Z1046" s="137">
        <v>25722.400000000001</v>
      </c>
      <c r="AA1046" s="137">
        <f t="shared" si="236"/>
        <v>4277.5999999999985</v>
      </c>
      <c r="AB1046" s="146">
        <f t="shared" si="232"/>
        <v>24733.076923076922</v>
      </c>
      <c r="AC1046" s="147">
        <f t="shared" si="237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9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hidden="1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1005</v>
      </c>
      <c r="G1047" s="119" t="s">
        <v>1005</v>
      </c>
      <c r="H1047" s="119" t="s">
        <v>1005</v>
      </c>
      <c r="I1047" s="119" t="s">
        <v>168</v>
      </c>
      <c r="J1047" s="119" t="s">
        <v>861</v>
      </c>
      <c r="K1047" s="119" t="s">
        <v>862</v>
      </c>
      <c r="L1047" s="119" t="s">
        <v>1006</v>
      </c>
      <c r="M1047" s="119" t="s">
        <v>45</v>
      </c>
      <c r="N1047" s="136">
        <v>0.04</v>
      </c>
      <c r="O1047" s="135" t="s">
        <v>492</v>
      </c>
      <c r="P1047" s="135"/>
      <c r="Q1047" s="137">
        <v>0</v>
      </c>
      <c r="R1047" s="137">
        <v>0</v>
      </c>
      <c r="S1047" s="137">
        <v>211050.2</v>
      </c>
      <c r="T1047" s="137">
        <f t="shared" si="234"/>
        <v>8442.0079999999998</v>
      </c>
      <c r="U1047" s="137">
        <f t="shared" si="238"/>
        <v>219492.20800000001</v>
      </c>
      <c r="V1047" s="137">
        <v>211050.2</v>
      </c>
      <c r="W1047" s="137">
        <f t="shared" si="239"/>
        <v>8442.0080000000016</v>
      </c>
      <c r="X1047" s="137">
        <f t="shared" si="235"/>
        <v>8117.3153846153855</v>
      </c>
      <c r="Y1047" s="137">
        <f t="shared" si="240"/>
        <v>324.69261538461615</v>
      </c>
      <c r="Z1047" s="137">
        <v>218395.2</v>
      </c>
      <c r="AA1047" s="137">
        <f t="shared" si="236"/>
        <v>-7345</v>
      </c>
      <c r="AB1047" s="146">
        <f t="shared" si="232"/>
        <v>218395.2</v>
      </c>
      <c r="AC1047" s="147">
        <f t="shared" si="237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9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hidden="1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4"/>
        <v>205800</v>
      </c>
      <c r="U1048" s="137">
        <f t="shared" si="238"/>
        <v>3635800</v>
      </c>
      <c r="V1048" s="137">
        <v>3727800</v>
      </c>
      <c r="W1048" s="137">
        <f t="shared" si="239"/>
        <v>-92000</v>
      </c>
      <c r="X1048" s="137">
        <f t="shared" si="235"/>
        <v>-86792.452830188675</v>
      </c>
      <c r="Y1048" s="137">
        <f t="shared" si="240"/>
        <v>-5207.5471698113251</v>
      </c>
      <c r="Z1048" s="137">
        <v>3567837.76</v>
      </c>
      <c r="AA1048" s="137">
        <f t="shared" si="236"/>
        <v>159962.24000000022</v>
      </c>
      <c r="AB1048" s="146">
        <f t="shared" si="232"/>
        <v>3365884.6792452824</v>
      </c>
      <c r="AC1048" s="147">
        <f t="shared" si="237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9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hidden="1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808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1007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4"/>
        <v>18400</v>
      </c>
      <c r="U1049" s="137">
        <f t="shared" si="238"/>
        <v>938400</v>
      </c>
      <c r="V1049" s="137">
        <v>925031.9</v>
      </c>
      <c r="W1049" s="137">
        <f t="shared" si="239"/>
        <v>13368.099999999977</v>
      </c>
      <c r="X1049" s="137">
        <f t="shared" si="235"/>
        <v>13105.98039215684</v>
      </c>
      <c r="Y1049" s="137">
        <f t="shared" si="240"/>
        <v>262.11960784313669</v>
      </c>
      <c r="Z1049" s="137">
        <v>925031</v>
      </c>
      <c r="AA1049" s="137">
        <f t="shared" si="236"/>
        <v>0.90000000002328306</v>
      </c>
      <c r="AB1049" s="146">
        <f t="shared" si="232"/>
        <v>906893.13725490193</v>
      </c>
      <c r="AC1049" s="147">
        <f t="shared" si="237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9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hidden="1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808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1007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4"/>
        <v>13800</v>
      </c>
      <c r="U1050" s="137">
        <f t="shared" si="238"/>
        <v>473800</v>
      </c>
      <c r="V1050" s="137">
        <v>463771.52</v>
      </c>
      <c r="W1050" s="137">
        <f t="shared" si="239"/>
        <v>10028.479999999981</v>
      </c>
      <c r="X1050" s="137">
        <f t="shared" si="235"/>
        <v>9736.3883495145456</v>
      </c>
      <c r="Y1050" s="137">
        <f t="shared" si="240"/>
        <v>292.09165048543582</v>
      </c>
      <c r="Z1050" s="137">
        <v>463761.89</v>
      </c>
      <c r="AA1050" s="137">
        <f t="shared" si="236"/>
        <v>9.6300000000046566</v>
      </c>
      <c r="AB1050" s="146">
        <f t="shared" si="232"/>
        <v>450254.26213592233</v>
      </c>
      <c r="AC1050" s="147">
        <f t="shared" si="237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9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hidden="1" customHeight="1" x14ac:dyDescent="0.3">
      <c r="A1051" s="119">
        <v>2017</v>
      </c>
      <c r="C1051" s="119" t="s">
        <v>53</v>
      </c>
      <c r="F1051" s="131" t="s">
        <v>1008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1009</v>
      </c>
      <c r="M1051" s="119" t="s">
        <v>45</v>
      </c>
      <c r="N1051" s="135">
        <v>0</v>
      </c>
      <c r="O1051" s="135" t="s">
        <v>46</v>
      </c>
      <c r="P1051" s="135" t="s">
        <v>848</v>
      </c>
      <c r="Q1051" s="137">
        <v>77846.6816346095</v>
      </c>
      <c r="R1051" s="137">
        <v>0</v>
      </c>
      <c r="S1051" s="137"/>
      <c r="T1051" s="137">
        <f t="shared" si="234"/>
        <v>0</v>
      </c>
      <c r="U1051" s="137">
        <f t="shared" si="238"/>
        <v>0</v>
      </c>
      <c r="V1051" s="137">
        <v>0</v>
      </c>
      <c r="W1051" s="137">
        <f t="shared" si="239"/>
        <v>0</v>
      </c>
      <c r="X1051" s="137">
        <f t="shared" si="235"/>
        <v>0</v>
      </c>
      <c r="Y1051" s="137">
        <f t="shared" si="240"/>
        <v>0</v>
      </c>
      <c r="Z1051" s="137">
        <v>84884.9</v>
      </c>
      <c r="AA1051" s="137">
        <f t="shared" si="236"/>
        <v>-7038.218365390494</v>
      </c>
      <c r="AB1051" s="146">
        <v>0</v>
      </c>
      <c r="AC1051" s="147">
        <f t="shared" si="237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9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hidden="1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944</v>
      </c>
      <c r="G1052" s="119" t="s">
        <v>945</v>
      </c>
      <c r="H1052" s="119" t="s">
        <v>945</v>
      </c>
      <c r="I1052" s="119" t="s">
        <v>168</v>
      </c>
      <c r="J1052" s="119" t="s">
        <v>169</v>
      </c>
      <c r="K1052" s="119" t="s">
        <v>170</v>
      </c>
      <c r="L1052" s="119" t="s">
        <v>946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4"/>
        <v>2800</v>
      </c>
      <c r="U1052" s="137">
        <f t="shared" si="238"/>
        <v>72800</v>
      </c>
      <c r="V1052" s="137">
        <v>50000</v>
      </c>
      <c r="W1052" s="137">
        <f t="shared" si="239"/>
        <v>22800</v>
      </c>
      <c r="X1052" s="137">
        <f t="shared" si="235"/>
        <v>21923.076923076922</v>
      </c>
      <c r="Y1052" s="137">
        <f t="shared" si="240"/>
        <v>876.92307692307804</v>
      </c>
      <c r="Z1052" s="137">
        <v>50000</v>
      </c>
      <c r="AA1052" s="137">
        <f t="shared" si="236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7"/>
        <v>1923.076923076922</v>
      </c>
      <c r="AD1052" s="137">
        <f t="shared" ref="AD1052:AD1053" si="244">(Z1052-Q1052)*0.826045217867759</f>
        <v>41302.260893387946</v>
      </c>
      <c r="AE1052" s="138">
        <v>0.11269173273981201</v>
      </c>
      <c r="AF1052" s="137">
        <f t="shared" si="229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hidden="1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816</v>
      </c>
      <c r="F1053" s="119" t="s">
        <v>1010</v>
      </c>
      <c r="G1053" s="119" t="s">
        <v>1011</v>
      </c>
      <c r="H1053" s="119" t="s">
        <v>1011</v>
      </c>
      <c r="I1053" s="119" t="s">
        <v>168</v>
      </c>
      <c r="J1053" s="119" t="s">
        <v>169</v>
      </c>
      <c r="K1053" s="119" t="s">
        <v>170</v>
      </c>
      <c r="L1053" s="119" t="s">
        <v>1010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4"/>
        <v>0</v>
      </c>
      <c r="U1053" s="137">
        <f t="shared" si="238"/>
        <v>15910</v>
      </c>
      <c r="V1053" s="137">
        <v>15910</v>
      </c>
      <c r="W1053" s="137">
        <f t="shared" si="239"/>
        <v>0</v>
      </c>
      <c r="X1053" s="137">
        <f t="shared" si="235"/>
        <v>0</v>
      </c>
      <c r="Y1053" s="137">
        <f t="shared" si="240"/>
        <v>0</v>
      </c>
      <c r="Z1053" s="137">
        <v>15910</v>
      </c>
      <c r="AA1053" s="137">
        <f t="shared" si="236"/>
        <v>0</v>
      </c>
      <c r="AB1053" s="146">
        <f>IF(O1053="返货",Z1053/(1+N1053),IF(O1053="返现",Z1053,IF(O1053="折扣",Z1053*N1053,IF(O1053="无",Z1053))))</f>
        <v>15910</v>
      </c>
      <c r="AC1053" s="147">
        <f t="shared" si="237"/>
        <v>0</v>
      </c>
      <c r="AD1053" s="137">
        <f t="shared" si="244"/>
        <v>13142.379416276046</v>
      </c>
      <c r="AE1053" s="138">
        <v>0.11269173273981201</v>
      </c>
      <c r="AF1053" s="137">
        <f t="shared" si="229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hidden="1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4"/>
        <v>0</v>
      </c>
      <c r="U1054" s="137">
        <f t="shared" si="238"/>
        <v>226734</v>
      </c>
      <c r="V1054" s="137">
        <v>226734</v>
      </c>
      <c r="W1054" s="137">
        <f t="shared" si="239"/>
        <v>0</v>
      </c>
      <c r="X1054" s="137">
        <f t="shared" si="235"/>
        <v>0</v>
      </c>
      <c r="Y1054" s="137">
        <f t="shared" si="240"/>
        <v>0</v>
      </c>
      <c r="Z1054" s="137">
        <v>226734</v>
      </c>
      <c r="AA1054" s="137">
        <f t="shared" si="236"/>
        <v>0</v>
      </c>
      <c r="AB1054" s="146">
        <f>IF(O1054="返货",Z1054/(1+N1054),IF(O1054="返现",Z1054,IF(O1054="折扣",Z1054*N1054,IF(O1054="无",Z1054))))</f>
        <v>226734</v>
      </c>
      <c r="AC1054" s="147">
        <f t="shared" si="237"/>
        <v>0</v>
      </c>
      <c r="AD1054" s="137">
        <f>S1054</f>
        <v>226734</v>
      </c>
      <c r="AE1054" s="135">
        <v>0</v>
      </c>
      <c r="AF1054" s="137">
        <f t="shared" si="229"/>
        <v>0</v>
      </c>
      <c r="AG1054" s="137">
        <v>0</v>
      </c>
      <c r="AH1054" s="137"/>
      <c r="AI1054" s="137"/>
      <c r="AJ1054" s="135" t="s">
        <v>1012</v>
      </c>
      <c r="AK1054" s="153" t="s">
        <v>1012</v>
      </c>
      <c r="AL1054" s="119" t="s">
        <v>973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1013</v>
      </c>
      <c r="M1055" s="119" t="s">
        <v>45</v>
      </c>
      <c r="N1055" s="135">
        <v>0</v>
      </c>
      <c r="O1055" s="135" t="s">
        <v>46</v>
      </c>
      <c r="P1055" s="135" t="s">
        <v>848</v>
      </c>
      <c r="Q1055" s="137">
        <v>72049.8780812779</v>
      </c>
      <c r="R1055" s="137">
        <v>0</v>
      </c>
      <c r="S1055" s="137"/>
      <c r="T1055" s="137">
        <f t="shared" si="234"/>
        <v>0</v>
      </c>
      <c r="U1055" s="137">
        <f t="shared" si="238"/>
        <v>0</v>
      </c>
      <c r="V1055" s="137">
        <v>0</v>
      </c>
      <c r="W1055" s="137">
        <f t="shared" si="239"/>
        <v>0</v>
      </c>
      <c r="X1055" s="137">
        <f t="shared" si="235"/>
        <v>0</v>
      </c>
      <c r="Y1055" s="137">
        <f t="shared" si="240"/>
        <v>0</v>
      </c>
      <c r="Z1055" s="137">
        <v>78564</v>
      </c>
      <c r="AA1055" s="137">
        <f t="shared" si="236"/>
        <v>-6514.1219187220995</v>
      </c>
      <c r="AB1055" s="146">
        <v>0</v>
      </c>
      <c r="AC1055" s="147">
        <f t="shared" si="237"/>
        <v>78564</v>
      </c>
      <c r="AD1055" s="137">
        <f t="shared" ref="AD1055:AD1060" si="245">(Z1055-Q1055)*0.89807640489087</f>
        <v>5850.1791937867592</v>
      </c>
      <c r="AE1055" s="138">
        <v>0.11269173273981201</v>
      </c>
      <c r="AF1055" s="137">
        <f t="shared" si="229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1014</v>
      </c>
      <c r="M1056" s="119" t="s">
        <v>45</v>
      </c>
      <c r="N1056" s="135">
        <v>0</v>
      </c>
      <c r="O1056" s="135" t="s">
        <v>46</v>
      </c>
      <c r="P1056" s="135" t="s">
        <v>848</v>
      </c>
      <c r="Q1056" s="137">
        <v>90000</v>
      </c>
      <c r="R1056" s="137">
        <v>0</v>
      </c>
      <c r="S1056" s="137"/>
      <c r="T1056" s="137">
        <f t="shared" si="234"/>
        <v>0</v>
      </c>
      <c r="U1056" s="137">
        <f t="shared" si="238"/>
        <v>0</v>
      </c>
      <c r="V1056" s="137">
        <v>0</v>
      </c>
      <c r="W1056" s="137">
        <f t="shared" si="239"/>
        <v>0</v>
      </c>
      <c r="X1056" s="137">
        <f t="shared" si="235"/>
        <v>0</v>
      </c>
      <c r="Y1056" s="137">
        <f t="shared" si="240"/>
        <v>0</v>
      </c>
      <c r="Z1056" s="137">
        <v>34310.9</v>
      </c>
      <c r="AA1056" s="137">
        <f t="shared" si="236"/>
        <v>55689.1</v>
      </c>
      <c r="AB1056" s="146">
        <v>0</v>
      </c>
      <c r="AC1056" s="147">
        <f t="shared" si="237"/>
        <v>34310.9</v>
      </c>
      <c r="AD1056" s="137">
        <f t="shared" si="245"/>
        <v>-50013.066719608149</v>
      </c>
      <c r="AE1056" s="138">
        <v>0.11269173273981201</v>
      </c>
      <c r="AF1056" s="137">
        <f t="shared" si="229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hidden="1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1015</v>
      </c>
      <c r="G1057" s="119" t="s">
        <v>1015</v>
      </c>
      <c r="H1057" s="119" t="s">
        <v>1015</v>
      </c>
      <c r="I1057" s="119" t="s">
        <v>168</v>
      </c>
      <c r="J1057" s="119" t="s">
        <v>169</v>
      </c>
      <c r="K1057" s="119" t="s">
        <v>170</v>
      </c>
      <c r="L1057" s="119" t="s">
        <v>1015</v>
      </c>
      <c r="M1057" s="119" t="s">
        <v>45</v>
      </c>
      <c r="N1057" s="136">
        <v>0.04</v>
      </c>
      <c r="O1057" s="135" t="s">
        <v>492</v>
      </c>
      <c r="P1057" s="135"/>
      <c r="Q1057" s="137">
        <v>0</v>
      </c>
      <c r="R1057" s="137">
        <v>0</v>
      </c>
      <c r="S1057" s="137">
        <v>19615.38</v>
      </c>
      <c r="T1057" s="137">
        <f t="shared" si="234"/>
        <v>784.61520000000007</v>
      </c>
      <c r="U1057" s="137">
        <f t="shared" si="238"/>
        <v>20399.995200000001</v>
      </c>
      <c r="V1057" s="137">
        <v>10200</v>
      </c>
      <c r="W1057" s="137">
        <f t="shared" si="239"/>
        <v>10199.995200000001</v>
      </c>
      <c r="X1057" s="137">
        <f t="shared" si="235"/>
        <v>9807.6876923076925</v>
      </c>
      <c r="Y1057" s="137">
        <f t="shared" si="240"/>
        <v>392.30750769230872</v>
      </c>
      <c r="Z1057" s="137">
        <v>16103</v>
      </c>
      <c r="AA1057" s="137">
        <f t="shared" si="236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7"/>
        <v>644.12</v>
      </c>
      <c r="AD1057" s="137">
        <f t="shared" si="245"/>
        <v>14461.724347957681</v>
      </c>
      <c r="AE1057" s="138">
        <v>0.11269173273981201</v>
      </c>
      <c r="AF1057" s="137">
        <f t="shared" si="229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1016</v>
      </c>
      <c r="M1058" s="119" t="s">
        <v>45</v>
      </c>
      <c r="N1058" s="135">
        <v>0</v>
      </c>
      <c r="O1058" s="135" t="s">
        <v>46</v>
      </c>
      <c r="P1058" s="135" t="s">
        <v>850</v>
      </c>
      <c r="Q1058" s="137">
        <v>97025.7</v>
      </c>
      <c r="R1058" s="137">
        <v>0</v>
      </c>
      <c r="S1058" s="137"/>
      <c r="T1058" s="137">
        <f t="shared" si="234"/>
        <v>0</v>
      </c>
      <c r="U1058" s="137">
        <f t="shared" si="238"/>
        <v>0</v>
      </c>
      <c r="V1058" s="137">
        <v>0</v>
      </c>
      <c r="W1058" s="137">
        <f t="shared" si="239"/>
        <v>0</v>
      </c>
      <c r="X1058" s="137">
        <f t="shared" si="235"/>
        <v>0</v>
      </c>
      <c r="Y1058" s="137">
        <f t="shared" si="240"/>
        <v>0</v>
      </c>
      <c r="Z1058" s="137">
        <v>97025.7</v>
      </c>
      <c r="AA1058" s="137">
        <f t="shared" si="236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7"/>
        <v>97025.7</v>
      </c>
      <c r="AD1058" s="137">
        <f t="shared" si="245"/>
        <v>0</v>
      </c>
      <c r="AE1058" s="138">
        <v>0.11269173273981201</v>
      </c>
      <c r="AF1058" s="137">
        <f t="shared" si="229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hidden="1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848</v>
      </c>
      <c r="Q1059" s="168">
        <v>58258.109567697698</v>
      </c>
      <c r="R1059" s="137">
        <v>0</v>
      </c>
      <c r="S1059" s="137"/>
      <c r="T1059" s="137">
        <f t="shared" si="234"/>
        <v>0</v>
      </c>
      <c r="U1059" s="137">
        <f t="shared" si="238"/>
        <v>0</v>
      </c>
      <c r="V1059" s="137">
        <v>10000</v>
      </c>
      <c r="W1059" s="137">
        <f t="shared" si="239"/>
        <v>-10000</v>
      </c>
      <c r="X1059" s="137">
        <f t="shared" si="235"/>
        <v>-9803.9215686274511</v>
      </c>
      <c r="Y1059" s="137">
        <f t="shared" si="240"/>
        <v>-196.07843137254895</v>
      </c>
      <c r="Z1059" s="137">
        <v>7217.5</v>
      </c>
      <c r="AA1059" s="137">
        <f t="shared" si="236"/>
        <v>61040.609567697698</v>
      </c>
      <c r="AB1059" s="146">
        <f t="shared" ref="AB1059" si="246">IF(O1059="返货",Z1059/(1+N1059),IF(O1059="返现",Z1059,IF(O1059="折扣",Z1059*N1059,IF(O1059="无",Z1059))))</f>
        <v>7075.9803921568628</v>
      </c>
      <c r="AC1059" s="147">
        <f t="shared" si="237"/>
        <v>141.51960784313724</v>
      </c>
      <c r="AD1059" s="137">
        <f t="shared" si="245"/>
        <v>-45838.367143996496</v>
      </c>
      <c r="AE1059" s="138">
        <v>0.11269173273981201</v>
      </c>
      <c r="AF1059" s="137">
        <f t="shared" si="229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1017</v>
      </c>
      <c r="M1060" s="119" t="s">
        <v>45</v>
      </c>
      <c r="N1060" s="135">
        <v>0</v>
      </c>
      <c r="O1060" s="135" t="s">
        <v>46</v>
      </c>
      <c r="P1060" s="135" t="s">
        <v>848</v>
      </c>
      <c r="Q1060" s="137">
        <v>54211.7464488365</v>
      </c>
      <c r="R1060" s="137">
        <v>0</v>
      </c>
      <c r="S1060" s="137"/>
      <c r="T1060" s="137">
        <f t="shared" si="234"/>
        <v>0</v>
      </c>
      <c r="U1060" s="137">
        <f t="shared" si="238"/>
        <v>0</v>
      </c>
      <c r="V1060" s="137">
        <v>0</v>
      </c>
      <c r="W1060" s="137">
        <f t="shared" si="239"/>
        <v>0</v>
      </c>
      <c r="X1060" s="137">
        <f t="shared" si="235"/>
        <v>0</v>
      </c>
      <c r="Y1060" s="137">
        <f t="shared" si="240"/>
        <v>0</v>
      </c>
      <c r="Z1060" s="137">
        <v>59113.1</v>
      </c>
      <c r="AA1060" s="137">
        <f t="shared" si="236"/>
        <v>-4901.3535511634982</v>
      </c>
      <c r="AB1060" s="146">
        <v>0</v>
      </c>
      <c r="AC1060" s="147">
        <f t="shared" si="237"/>
        <v>59113.1</v>
      </c>
      <c r="AD1060" s="137">
        <f t="shared" si="245"/>
        <v>4401.7899763280138</v>
      </c>
      <c r="AE1060" s="138">
        <v>0.11269173273981201</v>
      </c>
      <c r="AF1060" s="137">
        <f t="shared" si="229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hidden="1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929</v>
      </c>
      <c r="G1061" s="131" t="s">
        <v>929</v>
      </c>
      <c r="H1061" s="131" t="s">
        <v>929</v>
      </c>
      <c r="I1061" s="119" t="s">
        <v>168</v>
      </c>
      <c r="J1061" s="119" t="s">
        <v>861</v>
      </c>
      <c r="K1061" s="119" t="s">
        <v>862</v>
      </c>
      <c r="L1061" s="119" t="s">
        <v>929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4"/>
        <v>0</v>
      </c>
      <c r="U1061" s="137">
        <f t="shared" si="238"/>
        <v>0</v>
      </c>
      <c r="V1061" s="137">
        <v>0</v>
      </c>
      <c r="W1061" s="137">
        <f t="shared" si="239"/>
        <v>0</v>
      </c>
      <c r="X1061" s="137">
        <f t="shared" si="235"/>
        <v>0</v>
      </c>
      <c r="Y1061" s="137">
        <f t="shared" si="240"/>
        <v>0</v>
      </c>
      <c r="Z1061" s="137">
        <v>4553.6499999999996</v>
      </c>
      <c r="AA1061" s="137">
        <f t="shared" si="236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7"/>
        <v>0</v>
      </c>
      <c r="AD1061" s="137">
        <f>Z1061</f>
        <v>4553.6499999999996</v>
      </c>
      <c r="AE1061" s="138">
        <v>0.1</v>
      </c>
      <c r="AF1061" s="137">
        <f t="shared" si="229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hidden="1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926</v>
      </c>
      <c r="G1062" s="119" t="s">
        <v>926</v>
      </c>
      <c r="H1062" s="119" t="s">
        <v>926</v>
      </c>
      <c r="I1062" s="119" t="s">
        <v>168</v>
      </c>
      <c r="J1062" s="119" t="s">
        <v>169</v>
      </c>
      <c r="K1062" s="119" t="s">
        <v>170</v>
      </c>
      <c r="L1062" s="119" t="s">
        <v>927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4"/>
        <v>11400</v>
      </c>
      <c r="U1062" s="137">
        <f t="shared" si="238"/>
        <v>125400</v>
      </c>
      <c r="V1062" s="137">
        <v>114000</v>
      </c>
      <c r="W1062" s="137">
        <f t="shared" si="239"/>
        <v>11400</v>
      </c>
      <c r="X1062" s="137">
        <f t="shared" si="235"/>
        <v>10363.636363636362</v>
      </c>
      <c r="Y1062" s="137">
        <f t="shared" si="240"/>
        <v>1036.3636363636379</v>
      </c>
      <c r="Z1062" s="137">
        <v>118470.3</v>
      </c>
      <c r="AA1062" s="137">
        <f t="shared" si="236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7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9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hidden="1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606</v>
      </c>
      <c r="G1063" s="119" t="s">
        <v>1018</v>
      </c>
      <c r="H1063" s="119" t="s">
        <v>1018</v>
      </c>
      <c r="I1063" s="119" t="s">
        <v>168</v>
      </c>
      <c r="J1063" s="119" t="s">
        <v>169</v>
      </c>
      <c r="K1063" s="119" t="s">
        <v>170</v>
      </c>
      <c r="L1063" s="119" t="s">
        <v>606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4"/>
        <v>4000</v>
      </c>
      <c r="U1063" s="137">
        <f t="shared" si="238"/>
        <v>204000</v>
      </c>
      <c r="V1063" s="137">
        <v>200000</v>
      </c>
      <c r="W1063" s="137">
        <f t="shared" si="239"/>
        <v>4000</v>
      </c>
      <c r="X1063" s="137">
        <f t="shared" si="235"/>
        <v>3921.5686274509803</v>
      </c>
      <c r="Y1063" s="137">
        <f t="shared" si="240"/>
        <v>78.43137254901967</v>
      </c>
      <c r="Z1063" s="137">
        <v>3092864.5</v>
      </c>
      <c r="AA1063" s="137">
        <f t="shared" si="236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7"/>
        <v>123532.14705882361</v>
      </c>
      <c r="AD1063" s="137">
        <f t="shared" ref="AD1063:AD1072" si="247">(Z1063-Q1063)*0.89807640489087</f>
        <v>2720021.0709446711</v>
      </c>
      <c r="AE1063" s="138">
        <v>0.11269173273981201</v>
      </c>
      <c r="AF1063" s="137">
        <f t="shared" si="229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606</v>
      </c>
      <c r="G1064" s="119" t="s">
        <v>606</v>
      </c>
      <c r="H1064" s="119" t="s">
        <v>606</v>
      </c>
      <c r="I1064" s="119" t="s">
        <v>168</v>
      </c>
      <c r="J1064" s="119" t="s">
        <v>169</v>
      </c>
      <c r="K1064" s="119" t="s">
        <v>170</v>
      </c>
      <c r="L1064" s="119" t="s">
        <v>606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4"/>
        <v>60000</v>
      </c>
      <c r="U1064" s="137">
        <f t="shared" si="238"/>
        <v>3060000</v>
      </c>
      <c r="V1064" s="137">
        <v>2800370.51</v>
      </c>
      <c r="W1064" s="137">
        <f t="shared" si="239"/>
        <v>259629.49000000022</v>
      </c>
      <c r="X1064" s="137">
        <f t="shared" si="235"/>
        <v>254538.71568627472</v>
      </c>
      <c r="Y1064" s="137">
        <f t="shared" si="240"/>
        <v>5090.774313725502</v>
      </c>
      <c r="Z1064" s="137">
        <v>0</v>
      </c>
      <c r="AA1064" s="137">
        <f t="shared" si="236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7"/>
        <v>0</v>
      </c>
      <c r="AD1064" s="137">
        <f t="shared" si="247"/>
        <v>0</v>
      </c>
      <c r="AE1064" s="138">
        <v>0.11269173273981201</v>
      </c>
      <c r="AF1064" s="137">
        <f t="shared" si="229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1019</v>
      </c>
      <c r="M1065" s="119" t="s">
        <v>45</v>
      </c>
      <c r="N1065" s="135">
        <v>0</v>
      </c>
      <c r="O1065" s="135" t="s">
        <v>46</v>
      </c>
      <c r="P1065" s="135" t="s">
        <v>848</v>
      </c>
      <c r="Q1065" s="137">
        <v>333098.59999999998</v>
      </c>
      <c r="R1065" s="137">
        <v>0</v>
      </c>
      <c r="S1065" s="137"/>
      <c r="T1065" s="137">
        <f t="shared" si="234"/>
        <v>0</v>
      </c>
      <c r="U1065" s="137">
        <f t="shared" si="238"/>
        <v>0</v>
      </c>
      <c r="V1065" s="137">
        <v>0</v>
      </c>
      <c r="W1065" s="137">
        <f t="shared" si="239"/>
        <v>0</v>
      </c>
      <c r="X1065" s="137">
        <f t="shared" si="235"/>
        <v>0</v>
      </c>
      <c r="Y1065" s="137">
        <f t="shared" si="240"/>
        <v>0</v>
      </c>
      <c r="Z1065" s="137">
        <v>333130.5</v>
      </c>
      <c r="AA1065" s="137">
        <f t="shared" si="236"/>
        <v>-31.900000000023283</v>
      </c>
      <c r="AB1065" s="146">
        <v>0</v>
      </c>
      <c r="AC1065" s="147">
        <f t="shared" si="237"/>
        <v>333130.5</v>
      </c>
      <c r="AD1065" s="137">
        <f t="shared" si="247"/>
        <v>28.648637316039665</v>
      </c>
      <c r="AE1065" s="138">
        <v>0.11269173273981201</v>
      </c>
      <c r="AF1065" s="137">
        <f t="shared" si="229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1020</v>
      </c>
      <c r="M1066" s="119" t="s">
        <v>45</v>
      </c>
      <c r="N1066" s="135">
        <v>0</v>
      </c>
      <c r="O1066" s="135" t="s">
        <v>46</v>
      </c>
      <c r="P1066" s="135" t="s">
        <v>848</v>
      </c>
      <c r="Q1066" s="137">
        <v>211.29641960600799</v>
      </c>
      <c r="R1066" s="137">
        <v>0</v>
      </c>
      <c r="S1066" s="137"/>
      <c r="T1066" s="137">
        <f t="shared" si="234"/>
        <v>0</v>
      </c>
      <c r="U1066" s="137">
        <f t="shared" si="238"/>
        <v>0</v>
      </c>
      <c r="V1066" s="137">
        <v>0</v>
      </c>
      <c r="W1066" s="137">
        <f t="shared" si="239"/>
        <v>0</v>
      </c>
      <c r="X1066" s="137">
        <f t="shared" si="235"/>
        <v>0</v>
      </c>
      <c r="Y1066" s="137">
        <f t="shared" si="240"/>
        <v>0</v>
      </c>
      <c r="Z1066" s="137">
        <v>230.4</v>
      </c>
      <c r="AA1066" s="137">
        <f t="shared" si="236"/>
        <v>-19.103580393992019</v>
      </c>
      <c r="AB1066" s="146">
        <v>0</v>
      </c>
      <c r="AC1066" s="147">
        <f t="shared" si="237"/>
        <v>230.4</v>
      </c>
      <c r="AD1066" s="137">
        <f t="shared" si="247"/>
        <v>17.156474800780064</v>
      </c>
      <c r="AE1066" s="138">
        <v>0.11269173273981201</v>
      </c>
      <c r="AF1066" s="137">
        <f t="shared" si="229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hidden="1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848</v>
      </c>
      <c r="Q1067" s="137">
        <v>44629.398794594701</v>
      </c>
      <c r="R1067" s="137">
        <v>0</v>
      </c>
      <c r="S1067" s="137"/>
      <c r="T1067" s="137">
        <f t="shared" si="234"/>
        <v>0</v>
      </c>
      <c r="U1067" s="137">
        <f t="shared" si="238"/>
        <v>0</v>
      </c>
      <c r="V1067" s="137">
        <v>0</v>
      </c>
      <c r="W1067" s="137">
        <f t="shared" si="239"/>
        <v>0</v>
      </c>
      <c r="X1067" s="137">
        <f t="shared" si="235"/>
        <v>0</v>
      </c>
      <c r="Y1067" s="137">
        <f t="shared" si="240"/>
        <v>0</v>
      </c>
      <c r="Z1067" s="137">
        <v>48664.4</v>
      </c>
      <c r="AA1067" s="137">
        <f t="shared" si="236"/>
        <v>-4035.0012054053004</v>
      </c>
      <c r="AB1067" s="146">
        <v>0</v>
      </c>
      <c r="AC1067" s="147">
        <f t="shared" si="237"/>
        <v>48664.4</v>
      </c>
      <c r="AD1067" s="137">
        <f t="shared" si="247"/>
        <v>3623.7393762807192</v>
      </c>
      <c r="AE1067" s="138">
        <v>0.11269173273981201</v>
      </c>
      <c r="AF1067" s="137">
        <f t="shared" si="229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1021</v>
      </c>
      <c r="M1068" s="119" t="s">
        <v>45</v>
      </c>
      <c r="N1068" s="135">
        <v>0</v>
      </c>
      <c r="O1068" s="135" t="s">
        <v>46</v>
      </c>
      <c r="P1068" s="135" t="s">
        <v>848</v>
      </c>
      <c r="Q1068" s="137">
        <v>27229.358740477001</v>
      </c>
      <c r="R1068" s="137">
        <v>0</v>
      </c>
      <c r="S1068" s="137"/>
      <c r="T1068" s="137">
        <f t="shared" si="234"/>
        <v>0</v>
      </c>
      <c r="U1068" s="137">
        <f t="shared" si="238"/>
        <v>0</v>
      </c>
      <c r="V1068" s="137">
        <v>0</v>
      </c>
      <c r="W1068" s="137">
        <f t="shared" si="239"/>
        <v>0</v>
      </c>
      <c r="X1068" s="137">
        <f t="shared" si="235"/>
        <v>0</v>
      </c>
      <c r="Y1068" s="137">
        <f t="shared" si="240"/>
        <v>0</v>
      </c>
      <c r="Z1068" s="137">
        <v>29691.200000000001</v>
      </c>
      <c r="AA1068" s="137">
        <f t="shared" si="236"/>
        <v>-2461.8412595230002</v>
      </c>
      <c r="AB1068" s="146">
        <v>0</v>
      </c>
      <c r="AC1068" s="147">
        <f t="shared" si="237"/>
        <v>29691.200000000001</v>
      </c>
      <c r="AD1068" s="137">
        <f t="shared" si="247"/>
        <v>2210.9215477644275</v>
      </c>
      <c r="AE1068" s="138">
        <v>0.11269173273981201</v>
      </c>
      <c r="AF1068" s="137">
        <f t="shared" si="229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hidden="1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605</v>
      </c>
      <c r="G1069" s="119" t="s">
        <v>605</v>
      </c>
      <c r="H1069" s="119" t="s">
        <v>605</v>
      </c>
      <c r="I1069" s="119" t="s">
        <v>168</v>
      </c>
      <c r="J1069" s="119" t="s">
        <v>169</v>
      </c>
      <c r="K1069" s="119" t="s">
        <v>170</v>
      </c>
      <c r="L1069" s="119" t="s">
        <v>605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4"/>
        <v>6080.8</v>
      </c>
      <c r="U1069" s="137">
        <f t="shared" si="238"/>
        <v>158100.79999999999</v>
      </c>
      <c r="V1069" s="137">
        <v>155885.5</v>
      </c>
      <c r="W1069" s="137">
        <f t="shared" si="239"/>
        <v>2215.2999999999884</v>
      </c>
      <c r="X1069" s="137">
        <f t="shared" si="235"/>
        <v>2130.0961538461424</v>
      </c>
      <c r="Y1069" s="137">
        <f t="shared" si="240"/>
        <v>85.203846153845916</v>
      </c>
      <c r="Z1069" s="137">
        <v>158098.9</v>
      </c>
      <c r="AA1069" s="137">
        <f t="shared" si="236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7"/>
        <v>6080.7269230769307</v>
      </c>
      <c r="AD1069" s="137">
        <f t="shared" si="247"/>
        <v>141984.89172920116</v>
      </c>
      <c r="AE1069" s="138">
        <v>0.11269173273981201</v>
      </c>
      <c r="AF1069" s="137">
        <f t="shared" si="229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74</v>
      </c>
      <c r="D1070" s="119" t="s">
        <v>515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1022</v>
      </c>
      <c r="M1070" s="119" t="s">
        <v>45</v>
      </c>
      <c r="N1070" s="135">
        <v>0</v>
      </c>
      <c r="O1070" s="135" t="s">
        <v>46</v>
      </c>
      <c r="P1070" s="135" t="s">
        <v>848</v>
      </c>
      <c r="Q1070" s="137">
        <v>1198325</v>
      </c>
      <c r="R1070" s="137">
        <v>0</v>
      </c>
      <c r="S1070" s="137"/>
      <c r="T1070" s="137">
        <f t="shared" si="234"/>
        <v>0</v>
      </c>
      <c r="U1070" s="137">
        <f t="shared" si="238"/>
        <v>0</v>
      </c>
      <c r="V1070" s="137">
        <v>0</v>
      </c>
      <c r="W1070" s="137">
        <f t="shared" si="239"/>
        <v>0</v>
      </c>
      <c r="X1070" s="137">
        <f t="shared" si="235"/>
        <v>0</v>
      </c>
      <c r="Y1070" s="137">
        <f t="shared" si="240"/>
        <v>0</v>
      </c>
      <c r="Z1070" s="137">
        <v>321708.7</v>
      </c>
      <c r="AA1070" s="137">
        <f t="shared" si="236"/>
        <v>876616.3</v>
      </c>
      <c r="AB1070" s="146">
        <v>0</v>
      </c>
      <c r="AC1070" s="147">
        <f t="shared" si="237"/>
        <v>321708.7</v>
      </c>
      <c r="AD1070" s="137">
        <f t="shared" si="247"/>
        <v>-787268.41517273639</v>
      </c>
      <c r="AE1070" s="138">
        <v>0.11269173273981201</v>
      </c>
      <c r="AF1070" s="137">
        <f t="shared" ref="AF1070:AF1097" si="248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hidden="1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929</v>
      </c>
      <c r="G1071" s="131" t="s">
        <v>929</v>
      </c>
      <c r="H1071" s="131" t="s">
        <v>929</v>
      </c>
      <c r="I1071" s="119" t="s">
        <v>168</v>
      </c>
      <c r="J1071" s="119" t="s">
        <v>169</v>
      </c>
      <c r="K1071" s="119" t="s">
        <v>170</v>
      </c>
      <c r="L1071" s="119" t="s">
        <v>929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4"/>
        <v>0</v>
      </c>
      <c r="U1071" s="137">
        <f t="shared" si="238"/>
        <v>0</v>
      </c>
      <c r="V1071" s="137">
        <v>0</v>
      </c>
      <c r="W1071" s="137">
        <f t="shared" si="239"/>
        <v>0</v>
      </c>
      <c r="X1071" s="137">
        <f t="shared" si="235"/>
        <v>0</v>
      </c>
      <c r="Y1071" s="137">
        <f t="shared" si="240"/>
        <v>0</v>
      </c>
      <c r="Z1071" s="137">
        <v>26657</v>
      </c>
      <c r="AA1071" s="137">
        <f t="shared" si="236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7"/>
        <v>24446.738964571901</v>
      </c>
      <c r="AD1071" s="137">
        <f t="shared" si="247"/>
        <v>1984.9832845676387</v>
      </c>
      <c r="AE1071" s="138">
        <v>0.11269173273981201</v>
      </c>
      <c r="AF1071" s="137">
        <f t="shared" si="248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hidden="1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1023</v>
      </c>
      <c r="M1072" s="119" t="s">
        <v>45</v>
      </c>
      <c r="N1072" s="135">
        <v>0</v>
      </c>
      <c r="O1072" s="135" t="s">
        <v>46</v>
      </c>
      <c r="P1072" s="135" t="s">
        <v>848</v>
      </c>
      <c r="Q1072" s="137">
        <v>24100.722735763899</v>
      </c>
      <c r="R1072" s="137">
        <v>0</v>
      </c>
      <c r="S1072" s="137"/>
      <c r="T1072" s="137">
        <f t="shared" si="234"/>
        <v>0</v>
      </c>
      <c r="U1072" s="137">
        <f t="shared" si="238"/>
        <v>0</v>
      </c>
      <c r="V1072" s="137">
        <v>0</v>
      </c>
      <c r="W1072" s="137">
        <f t="shared" si="239"/>
        <v>0</v>
      </c>
      <c r="X1072" s="137">
        <f t="shared" si="235"/>
        <v>0</v>
      </c>
      <c r="Y1072" s="137">
        <f t="shared" si="240"/>
        <v>0</v>
      </c>
      <c r="Z1072" s="166">
        <v>26279.7</v>
      </c>
      <c r="AA1072" s="137">
        <f t="shared" si="236"/>
        <v>-2178.9772642361022</v>
      </c>
      <c r="AB1072" s="146">
        <v>0</v>
      </c>
      <c r="AC1072" s="147">
        <f t="shared" si="237"/>
        <v>26279.7</v>
      </c>
      <c r="AD1072" s="137">
        <f t="shared" si="247"/>
        <v>1956.8880678041021</v>
      </c>
      <c r="AE1072" s="138">
        <v>0.11269173273981201</v>
      </c>
      <c r="AF1072" s="137">
        <f t="shared" si="248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hidden="1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627</v>
      </c>
      <c r="G1073" s="131" t="s">
        <v>627</v>
      </c>
      <c r="H1073" s="131" t="s">
        <v>627</v>
      </c>
      <c r="I1073" s="119" t="s">
        <v>168</v>
      </c>
      <c r="J1073" s="119" t="s">
        <v>169</v>
      </c>
      <c r="K1073" s="119" t="s">
        <v>170</v>
      </c>
      <c r="L1073" s="119" t="s">
        <v>627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4"/>
        <v>0</v>
      </c>
      <c r="U1073" s="137">
        <f t="shared" si="238"/>
        <v>0</v>
      </c>
      <c r="V1073" s="137">
        <v>0</v>
      </c>
      <c r="W1073" s="137">
        <f t="shared" si="239"/>
        <v>0</v>
      </c>
      <c r="X1073" s="137">
        <f t="shared" si="235"/>
        <v>0</v>
      </c>
      <c r="Y1073" s="137">
        <f t="shared" si="240"/>
        <v>0</v>
      </c>
      <c r="Z1073" s="137">
        <v>1741.57</v>
      </c>
      <c r="AA1073" s="137">
        <f t="shared" si="236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7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8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hidden="1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1024</v>
      </c>
      <c r="G1074" s="119" t="s">
        <v>1024</v>
      </c>
      <c r="H1074" s="119" t="s">
        <v>1024</v>
      </c>
      <c r="I1074" s="119" t="s">
        <v>168</v>
      </c>
      <c r="J1074" s="119" t="s">
        <v>169</v>
      </c>
      <c r="K1074" s="119" t="s">
        <v>170</v>
      </c>
      <c r="L1074" s="119" t="s">
        <v>1024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4"/>
        <v>2800</v>
      </c>
      <c r="U1074" s="137">
        <f t="shared" si="238"/>
        <v>72800</v>
      </c>
      <c r="V1074" s="137">
        <v>71400</v>
      </c>
      <c r="W1074" s="137">
        <f t="shared" si="239"/>
        <v>1400</v>
      </c>
      <c r="X1074" s="137">
        <f t="shared" si="235"/>
        <v>1346.1538461538462</v>
      </c>
      <c r="Y1074" s="137">
        <f t="shared" si="240"/>
        <v>53.846153846153811</v>
      </c>
      <c r="Z1074" s="137">
        <v>72915.7</v>
      </c>
      <c r="AA1074" s="137">
        <f t="shared" si="236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7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8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hidden="1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620</v>
      </c>
      <c r="G1075" s="119" t="s">
        <v>620</v>
      </c>
      <c r="H1075" s="119" t="s">
        <v>620</v>
      </c>
      <c r="I1075" s="163" t="s">
        <v>202</v>
      </c>
      <c r="J1075" s="119" t="s">
        <v>621</v>
      </c>
      <c r="K1075" s="119" t="s">
        <v>622</v>
      </c>
      <c r="L1075" s="119" t="s">
        <v>620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4"/>
        <v>117.6472</v>
      </c>
      <c r="U1075" s="137">
        <f t="shared" si="238"/>
        <v>1588.2372</v>
      </c>
      <c r="V1075" s="137">
        <v>0</v>
      </c>
      <c r="W1075" s="137">
        <f t="shared" si="239"/>
        <v>1588.2372</v>
      </c>
      <c r="X1075" s="137">
        <f t="shared" si="235"/>
        <v>1470.59</v>
      </c>
      <c r="Y1075" s="137">
        <f t="shared" si="240"/>
        <v>117.64720000000011</v>
      </c>
      <c r="Z1075" s="137">
        <v>1500</v>
      </c>
      <c r="AA1075" s="137">
        <f t="shared" si="236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7"/>
        <v>111.11111111111131</v>
      </c>
      <c r="AD1075" s="137">
        <f>Z1075*0.734226585667168</f>
        <v>1101.3398785007521</v>
      </c>
      <c r="AE1075" s="138">
        <v>0.2</v>
      </c>
      <c r="AF1075" s="137">
        <f t="shared" si="248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1025</v>
      </c>
      <c r="M1076" s="119" t="s">
        <v>45</v>
      </c>
      <c r="N1076" s="135">
        <v>0</v>
      </c>
      <c r="O1076" s="135" t="s">
        <v>46</v>
      </c>
      <c r="P1076" s="135" t="s">
        <v>848</v>
      </c>
      <c r="Q1076" s="137">
        <v>8839.9672216416402</v>
      </c>
      <c r="R1076" s="137">
        <v>0</v>
      </c>
      <c r="S1076" s="137"/>
      <c r="T1076" s="137">
        <f t="shared" si="234"/>
        <v>0</v>
      </c>
      <c r="U1076" s="137">
        <f t="shared" si="238"/>
        <v>0</v>
      </c>
      <c r="V1076" s="137">
        <v>0</v>
      </c>
      <c r="W1076" s="137">
        <f t="shared" si="239"/>
        <v>0</v>
      </c>
      <c r="X1076" s="137">
        <f t="shared" si="235"/>
        <v>0</v>
      </c>
      <c r="Y1076" s="137">
        <f t="shared" si="240"/>
        <v>0</v>
      </c>
      <c r="Z1076" s="137">
        <v>9639.2000000000007</v>
      </c>
      <c r="AA1076" s="137">
        <f t="shared" si="236"/>
        <v>-799.23277835836052</v>
      </c>
      <c r="AB1076" s="146">
        <v>0</v>
      </c>
      <c r="AC1076" s="147">
        <f t="shared" si="237"/>
        <v>9639.2000000000007</v>
      </c>
      <c r="AD1076" s="137">
        <f t="shared" ref="AD1076:AD1077" si="249">(Z1076-Q1076)*0.89807640489087</f>
        <v>717.77210025901798</v>
      </c>
      <c r="AE1076" s="138">
        <v>0.11269173273981201</v>
      </c>
      <c r="AF1076" s="137">
        <f t="shared" si="248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1026</v>
      </c>
      <c r="M1077" s="119" t="s">
        <v>45</v>
      </c>
      <c r="N1077" s="135">
        <v>0</v>
      </c>
      <c r="O1077" s="135" t="s">
        <v>46</v>
      </c>
      <c r="P1077" s="135" t="s">
        <v>848</v>
      </c>
      <c r="Q1077" s="137">
        <v>8823.9182314371901</v>
      </c>
      <c r="R1077" s="137">
        <v>0</v>
      </c>
      <c r="S1077" s="137"/>
      <c r="T1077" s="137">
        <f t="shared" si="234"/>
        <v>0</v>
      </c>
      <c r="U1077" s="137">
        <f t="shared" si="238"/>
        <v>0</v>
      </c>
      <c r="V1077" s="137">
        <v>0</v>
      </c>
      <c r="W1077" s="137">
        <f t="shared" si="239"/>
        <v>0</v>
      </c>
      <c r="X1077" s="137">
        <f t="shared" si="235"/>
        <v>0</v>
      </c>
      <c r="Y1077" s="137">
        <f t="shared" si="240"/>
        <v>0</v>
      </c>
      <c r="Z1077" s="137">
        <v>9621.7000000000007</v>
      </c>
      <c r="AA1077" s="137">
        <f t="shared" si="236"/>
        <v>-797.78176856281061</v>
      </c>
      <c r="AB1077" s="146">
        <v>0</v>
      </c>
      <c r="AC1077" s="147">
        <f t="shared" si="237"/>
        <v>9621.7000000000007</v>
      </c>
      <c r="AD1077" s="137">
        <f t="shared" si="249"/>
        <v>716.46898259836905</v>
      </c>
      <c r="AE1077" s="138">
        <v>0.11269173273981201</v>
      </c>
      <c r="AF1077" s="137">
        <f t="shared" si="248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1027</v>
      </c>
      <c r="M1078" s="119" t="s">
        <v>183</v>
      </c>
      <c r="N1078" s="135">
        <v>0</v>
      </c>
      <c r="O1078" s="135" t="s">
        <v>46</v>
      </c>
      <c r="P1078" s="135" t="s">
        <v>848</v>
      </c>
      <c r="Q1078" s="137">
        <v>2753.2638801083399</v>
      </c>
      <c r="R1078" s="137">
        <v>0</v>
      </c>
      <c r="S1078" s="137"/>
      <c r="T1078" s="137">
        <f t="shared" si="234"/>
        <v>0</v>
      </c>
      <c r="U1078" s="137">
        <f t="shared" si="238"/>
        <v>0</v>
      </c>
      <c r="V1078" s="137">
        <v>0</v>
      </c>
      <c r="W1078" s="137">
        <f t="shared" si="239"/>
        <v>0</v>
      </c>
      <c r="X1078" s="137">
        <f t="shared" si="235"/>
        <v>0</v>
      </c>
      <c r="Y1078" s="137">
        <f t="shared" si="240"/>
        <v>0</v>
      </c>
      <c r="Z1078" s="137">
        <v>2610.6</v>
      </c>
      <c r="AA1078" s="137">
        <f t="shared" si="236"/>
        <v>142.66388010833998</v>
      </c>
      <c r="AB1078" s="146">
        <v>0</v>
      </c>
      <c r="AC1078" s="147">
        <f t="shared" si="237"/>
        <v>2610.6</v>
      </c>
      <c r="AD1078" s="137">
        <f t="shared" ref="AD1078:AD1079" si="250">(Z1078-Q1078)*0.91072157793815</f>
        <v>-129.92707400704643</v>
      </c>
      <c r="AE1078" s="138">
        <v>0.11269173273981201</v>
      </c>
      <c r="AF1078" s="137">
        <f t="shared" si="248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1028</v>
      </c>
      <c r="M1079" s="119" t="s">
        <v>183</v>
      </c>
      <c r="N1079" s="135">
        <v>0</v>
      </c>
      <c r="O1079" s="135" t="s">
        <v>46</v>
      </c>
      <c r="P1079" s="135" t="s">
        <v>848</v>
      </c>
      <c r="Q1079" s="137">
        <v>10450.9281749581</v>
      </c>
      <c r="R1079" s="137">
        <v>0</v>
      </c>
      <c r="S1079" s="137"/>
      <c r="T1079" s="137">
        <f t="shared" si="234"/>
        <v>0</v>
      </c>
      <c r="U1079" s="137">
        <f t="shared" si="238"/>
        <v>0</v>
      </c>
      <c r="V1079" s="137">
        <v>0</v>
      </c>
      <c r="W1079" s="137">
        <f t="shared" si="239"/>
        <v>0</v>
      </c>
      <c r="X1079" s="137">
        <f t="shared" si="235"/>
        <v>0</v>
      </c>
      <c r="Y1079" s="137">
        <f t="shared" si="240"/>
        <v>0</v>
      </c>
      <c r="Z1079" s="137">
        <v>9909.4</v>
      </c>
      <c r="AA1079" s="137">
        <f t="shared" si="236"/>
        <v>541.52817495810086</v>
      </c>
      <c r="AB1079" s="146">
        <v>0</v>
      </c>
      <c r="AC1079" s="147">
        <f t="shared" si="237"/>
        <v>9909.4</v>
      </c>
      <c r="AD1079" s="137">
        <f t="shared" si="250"/>
        <v>-493.18139399580821</v>
      </c>
      <c r="AE1079" s="138">
        <v>0.11269173273981201</v>
      </c>
      <c r="AF1079" s="137">
        <f t="shared" si="248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hidden="1" customHeight="1" x14ac:dyDescent="0.3">
      <c r="A1080" s="119">
        <v>2017</v>
      </c>
      <c r="C1080" s="119" t="s">
        <v>74</v>
      </c>
      <c r="D1080" s="119" t="s">
        <v>515</v>
      </c>
      <c r="F1080" s="131" t="e">
        <v>#N/A</v>
      </c>
      <c r="G1080" s="131"/>
      <c r="H1080" s="131"/>
      <c r="I1080" s="119" t="s">
        <v>168</v>
      </c>
      <c r="J1080" s="119" t="s">
        <v>861</v>
      </c>
      <c r="K1080" s="119" t="s">
        <v>862</v>
      </c>
      <c r="L1080" s="119" t="s">
        <v>1029</v>
      </c>
      <c r="M1080" s="119" t="s">
        <v>45</v>
      </c>
      <c r="N1080" s="135">
        <v>0</v>
      </c>
      <c r="O1080" s="135" t="s">
        <v>46</v>
      </c>
      <c r="P1080" s="135" t="s">
        <v>850</v>
      </c>
      <c r="Q1080" s="137">
        <v>290</v>
      </c>
      <c r="R1080" s="137">
        <v>0</v>
      </c>
      <c r="S1080" s="137"/>
      <c r="T1080" s="137">
        <f t="shared" si="234"/>
        <v>0</v>
      </c>
      <c r="U1080" s="137">
        <f t="shared" si="238"/>
        <v>0</v>
      </c>
      <c r="V1080" s="137">
        <v>0</v>
      </c>
      <c r="W1080" s="137">
        <f t="shared" si="239"/>
        <v>0</v>
      </c>
      <c r="X1080" s="137">
        <f t="shared" si="235"/>
        <v>0</v>
      </c>
      <c r="Y1080" s="137">
        <f t="shared" si="240"/>
        <v>0</v>
      </c>
      <c r="Z1080" s="137">
        <v>290</v>
      </c>
      <c r="AA1080" s="137">
        <f t="shared" si="236"/>
        <v>0</v>
      </c>
      <c r="AB1080" s="146">
        <f t="shared" ref="AB1080:AB1085" si="251">IF(O1080="返货",(Z1080-Q1080)/(1+N1080),IF(O1080="返现",(Z1080-Q1080),IF(O1080="折扣",(Z1080-Q1080)*N1080,IF(O1080="无",(Z1080-Q1080)))))</f>
        <v>0</v>
      </c>
      <c r="AC1080" s="147">
        <f t="shared" si="237"/>
        <v>290</v>
      </c>
      <c r="AD1080" s="137">
        <f t="shared" ref="AD1080:AD1085" si="252">Z1080*0.972201473425119-Q1080</f>
        <v>-8.0615727067154808</v>
      </c>
      <c r="AE1080" s="138">
        <v>0.1</v>
      </c>
      <c r="AF1080" s="137">
        <f t="shared" si="248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hidden="1" customHeight="1" x14ac:dyDescent="0.3">
      <c r="A1081" s="119">
        <v>2017</v>
      </c>
      <c r="B1081" s="119" t="s">
        <v>1633</v>
      </c>
      <c r="C1081" s="119" t="s">
        <v>108</v>
      </c>
      <c r="D1081" s="119" t="s">
        <v>109</v>
      </c>
      <c r="E1081" s="119" t="s">
        <v>279</v>
      </c>
      <c r="F1081" s="131" t="s">
        <v>891</v>
      </c>
      <c r="G1081" s="131" t="s">
        <v>1634</v>
      </c>
      <c r="H1081" s="131"/>
      <c r="I1081" s="119" t="s">
        <v>168</v>
      </c>
      <c r="J1081" s="119" t="s">
        <v>861</v>
      </c>
      <c r="K1081" s="119" t="s">
        <v>862</v>
      </c>
      <c r="L1081" s="119" t="s">
        <v>891</v>
      </c>
      <c r="M1081" s="119" t="s">
        <v>45</v>
      </c>
      <c r="N1081" s="135">
        <v>0</v>
      </c>
      <c r="O1081" s="135" t="s">
        <v>46</v>
      </c>
      <c r="P1081" s="135" t="s">
        <v>850</v>
      </c>
      <c r="Q1081" s="137">
        <v>81740.399999999994</v>
      </c>
      <c r="R1081" s="137">
        <v>0</v>
      </c>
      <c r="S1081" s="137"/>
      <c r="T1081" s="137">
        <f t="shared" si="234"/>
        <v>0</v>
      </c>
      <c r="U1081" s="137">
        <f t="shared" si="238"/>
        <v>0</v>
      </c>
      <c r="V1081" s="137">
        <v>30000</v>
      </c>
      <c r="W1081" s="137">
        <f t="shared" si="239"/>
        <v>-30000</v>
      </c>
      <c r="X1081" s="137">
        <f t="shared" si="235"/>
        <v>-30000</v>
      </c>
      <c r="Y1081" s="137">
        <f t="shared" si="240"/>
        <v>0</v>
      </c>
      <c r="Z1081" s="137">
        <v>40940.399999999994</v>
      </c>
      <c r="AA1081" s="137">
        <f t="shared" si="236"/>
        <v>70800</v>
      </c>
      <c r="AB1081" s="146">
        <v>0</v>
      </c>
      <c r="AC1081" s="147">
        <f t="shared" si="237"/>
        <v>40940.399999999994</v>
      </c>
      <c r="AD1081" s="137">
        <f t="shared" si="252"/>
        <v>-41938.082797386262</v>
      </c>
      <c r="AE1081" s="138">
        <v>0.1</v>
      </c>
      <c r="AF1081" s="137">
        <f t="shared" si="248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hidden="1" customHeight="1" x14ac:dyDescent="0.3">
      <c r="A1082" s="119">
        <v>2017</v>
      </c>
      <c r="C1082" s="119" t="s">
        <v>74</v>
      </c>
      <c r="D1082" s="119" t="s">
        <v>515</v>
      </c>
      <c r="F1082" s="131" t="s">
        <v>1030</v>
      </c>
      <c r="G1082" s="131"/>
      <c r="H1082" s="131"/>
      <c r="I1082" s="119" t="s">
        <v>168</v>
      </c>
      <c r="J1082" s="119" t="s">
        <v>861</v>
      </c>
      <c r="K1082" s="119" t="s">
        <v>862</v>
      </c>
      <c r="L1082" s="119" t="s">
        <v>1030</v>
      </c>
      <c r="M1082" s="119" t="s">
        <v>45</v>
      </c>
      <c r="N1082" s="135">
        <v>0</v>
      </c>
      <c r="O1082" s="135" t="s">
        <v>46</v>
      </c>
      <c r="P1082" s="135" t="s">
        <v>850</v>
      </c>
      <c r="Q1082" s="137">
        <v>26733.5</v>
      </c>
      <c r="R1082" s="137">
        <v>0</v>
      </c>
      <c r="S1082" s="137"/>
      <c r="T1082" s="137">
        <f t="shared" si="234"/>
        <v>0</v>
      </c>
      <c r="U1082" s="137">
        <f t="shared" si="238"/>
        <v>0</v>
      </c>
      <c r="V1082" s="137">
        <v>0</v>
      </c>
      <c r="W1082" s="137">
        <f t="shared" si="239"/>
        <v>0</v>
      </c>
      <c r="X1082" s="137">
        <f t="shared" si="235"/>
        <v>0</v>
      </c>
      <c r="Y1082" s="137">
        <f t="shared" si="240"/>
        <v>0</v>
      </c>
      <c r="Z1082" s="137">
        <v>26733.5</v>
      </c>
      <c r="AA1082" s="137">
        <f t="shared" si="236"/>
        <v>0</v>
      </c>
      <c r="AB1082" s="146">
        <f t="shared" si="251"/>
        <v>0</v>
      </c>
      <c r="AC1082" s="147">
        <f t="shared" si="237"/>
        <v>26733.5</v>
      </c>
      <c r="AD1082" s="137">
        <f t="shared" si="252"/>
        <v>-743.15191018958285</v>
      </c>
      <c r="AE1082" s="138">
        <v>0.1</v>
      </c>
      <c r="AF1082" s="137">
        <f t="shared" si="248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hidden="1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861</v>
      </c>
      <c r="K1083" s="119" t="s">
        <v>862</v>
      </c>
      <c r="L1083" s="119" t="s">
        <v>1031</v>
      </c>
      <c r="M1083" s="119" t="s">
        <v>45</v>
      </c>
      <c r="N1083" s="135">
        <v>0</v>
      </c>
      <c r="O1083" s="135" t="s">
        <v>46</v>
      </c>
      <c r="P1083" s="135" t="s">
        <v>850</v>
      </c>
      <c r="Q1083" s="137">
        <v>1950</v>
      </c>
      <c r="R1083" s="137">
        <v>0</v>
      </c>
      <c r="S1083" s="137"/>
      <c r="T1083" s="137">
        <f t="shared" si="234"/>
        <v>0</v>
      </c>
      <c r="U1083" s="137">
        <f t="shared" si="238"/>
        <v>0</v>
      </c>
      <c r="V1083" s="137">
        <v>0</v>
      </c>
      <c r="W1083" s="137">
        <f t="shared" si="239"/>
        <v>0</v>
      </c>
      <c r="X1083" s="137">
        <f t="shared" si="235"/>
        <v>0</v>
      </c>
      <c r="Y1083" s="137">
        <f t="shared" si="240"/>
        <v>0</v>
      </c>
      <c r="Z1083" s="137">
        <v>1950</v>
      </c>
      <c r="AA1083" s="137">
        <f t="shared" si="236"/>
        <v>0</v>
      </c>
      <c r="AB1083" s="146">
        <f t="shared" si="251"/>
        <v>0</v>
      </c>
      <c r="AC1083" s="147">
        <f t="shared" si="237"/>
        <v>1950</v>
      </c>
      <c r="AD1083" s="137">
        <f t="shared" si="252"/>
        <v>-54.207126821017937</v>
      </c>
      <c r="AE1083" s="138">
        <v>0.1</v>
      </c>
      <c r="AF1083" s="137">
        <f t="shared" si="248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hidden="1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1032</v>
      </c>
      <c r="G1084" s="131" t="s">
        <v>1032</v>
      </c>
      <c r="H1084" s="131" t="s">
        <v>1032</v>
      </c>
      <c r="I1084" s="119" t="s">
        <v>168</v>
      </c>
      <c r="J1084" s="119" t="s">
        <v>861</v>
      </c>
      <c r="K1084" s="119" t="s">
        <v>862</v>
      </c>
      <c r="L1084" s="119" t="s">
        <v>1032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4"/>
        <v>0</v>
      </c>
      <c r="U1084" s="137">
        <f t="shared" si="238"/>
        <v>0</v>
      </c>
      <c r="V1084" s="137">
        <v>49440.9</v>
      </c>
      <c r="W1084" s="137">
        <f t="shared" si="239"/>
        <v>-49440.9</v>
      </c>
      <c r="X1084" s="137">
        <f t="shared" si="235"/>
        <v>-48471.470588235294</v>
      </c>
      <c r="Y1084" s="137">
        <f t="shared" si="240"/>
        <v>-969.42941176470777</v>
      </c>
      <c r="Z1084" s="137">
        <v>141153.70000000001</v>
      </c>
      <c r="AA1084" s="137">
        <f t="shared" si="236"/>
        <v>61392.499999999971</v>
      </c>
      <c r="AB1084" s="146">
        <f t="shared" si="251"/>
        <v>-11717.254901960761</v>
      </c>
      <c r="AC1084" s="147">
        <f t="shared" si="237"/>
        <v>152870.95490196077</v>
      </c>
      <c r="AD1084" s="137">
        <f t="shared" si="252"/>
        <v>-15875.464880592772</v>
      </c>
      <c r="AE1084" s="138">
        <v>0.1</v>
      </c>
      <c r="AF1084" s="137">
        <f t="shared" si="248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hidden="1" customHeight="1" x14ac:dyDescent="0.3">
      <c r="A1085" s="119">
        <v>2017</v>
      </c>
      <c r="C1085" s="119" t="s">
        <v>38</v>
      </c>
      <c r="F1085" s="131" t="s">
        <v>975</v>
      </c>
      <c r="G1085" s="131"/>
      <c r="H1085" s="131"/>
      <c r="I1085" s="119" t="s">
        <v>168</v>
      </c>
      <c r="J1085" s="119" t="s">
        <v>861</v>
      </c>
      <c r="K1085" s="119" t="s">
        <v>862</v>
      </c>
      <c r="L1085" s="119" t="s">
        <v>975</v>
      </c>
      <c r="M1085" s="119" t="s">
        <v>45</v>
      </c>
      <c r="N1085" s="135">
        <v>0</v>
      </c>
      <c r="O1085" s="135" t="s">
        <v>46</v>
      </c>
      <c r="P1085" s="135" t="s">
        <v>850</v>
      </c>
      <c r="Q1085" s="137">
        <v>3062</v>
      </c>
      <c r="R1085" s="137">
        <v>0</v>
      </c>
      <c r="S1085" s="137"/>
      <c r="T1085" s="137">
        <f t="shared" si="234"/>
        <v>0</v>
      </c>
      <c r="U1085" s="137">
        <f t="shared" si="238"/>
        <v>0</v>
      </c>
      <c r="V1085" s="137">
        <v>0</v>
      </c>
      <c r="W1085" s="137">
        <f t="shared" si="239"/>
        <v>0</v>
      </c>
      <c r="X1085" s="137">
        <f t="shared" si="235"/>
        <v>0</v>
      </c>
      <c r="Y1085" s="137">
        <f t="shared" si="240"/>
        <v>0</v>
      </c>
      <c r="Z1085" s="137">
        <v>3062</v>
      </c>
      <c r="AA1085" s="137">
        <f t="shared" si="236"/>
        <v>0</v>
      </c>
      <c r="AB1085" s="146">
        <f t="shared" si="251"/>
        <v>0</v>
      </c>
      <c r="AC1085" s="147">
        <f t="shared" si="237"/>
        <v>3062</v>
      </c>
      <c r="AD1085" s="137">
        <f t="shared" si="252"/>
        <v>-85.11908837228566</v>
      </c>
      <c r="AE1085" s="138">
        <v>0.1</v>
      </c>
      <c r="AF1085" s="137">
        <f t="shared" si="248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1033</v>
      </c>
      <c r="M1086" s="119" t="s">
        <v>45</v>
      </c>
      <c r="N1086" s="135">
        <v>0</v>
      </c>
      <c r="O1086" s="135" t="s">
        <v>46</v>
      </c>
      <c r="P1086" s="135" t="s">
        <v>848</v>
      </c>
      <c r="Q1086" s="137">
        <v>8149.85</v>
      </c>
      <c r="R1086" s="137">
        <v>0</v>
      </c>
      <c r="S1086" s="137"/>
      <c r="T1086" s="137">
        <f t="shared" si="234"/>
        <v>0</v>
      </c>
      <c r="U1086" s="137">
        <f t="shared" si="238"/>
        <v>0</v>
      </c>
      <c r="V1086" s="137">
        <v>0</v>
      </c>
      <c r="W1086" s="137">
        <f t="shared" si="239"/>
        <v>0</v>
      </c>
      <c r="X1086" s="137">
        <f t="shared" si="235"/>
        <v>0</v>
      </c>
      <c r="Y1086" s="137">
        <f t="shared" si="240"/>
        <v>0</v>
      </c>
      <c r="Z1086" s="137">
        <v>8884.5</v>
      </c>
      <c r="AA1086" s="137">
        <f t="shared" si="236"/>
        <v>-734.64999999999964</v>
      </c>
      <c r="AB1086" s="146">
        <v>0</v>
      </c>
      <c r="AC1086" s="147">
        <f t="shared" si="237"/>
        <v>8884.5</v>
      </c>
      <c r="AD1086" s="137">
        <f t="shared" ref="AD1086:AD1088" si="253">(Z1086-Q1086)*0.89807640489087</f>
        <v>659.7718308530774</v>
      </c>
      <c r="AE1086" s="138">
        <v>0.11269173273981201</v>
      </c>
      <c r="AF1086" s="137">
        <f t="shared" si="248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608</v>
      </c>
      <c r="AM1086" s="131" t="s">
        <v>206</v>
      </c>
    </row>
    <row r="1087" spans="1:40" s="119" customFormat="1" ht="15" hidden="1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4"/>
        <v>0</v>
      </c>
      <c r="U1087" s="137">
        <f t="shared" si="238"/>
        <v>0</v>
      </c>
      <c r="V1087" s="137">
        <v>10000</v>
      </c>
      <c r="W1087" s="137">
        <f t="shared" si="239"/>
        <v>-10000</v>
      </c>
      <c r="X1087" s="137">
        <f t="shared" si="235"/>
        <v>-10000</v>
      </c>
      <c r="Y1087" s="137">
        <f t="shared" si="240"/>
        <v>0</v>
      </c>
      <c r="Z1087" s="137">
        <v>20639.099999999999</v>
      </c>
      <c r="AA1087" s="137">
        <f t="shared" si="236"/>
        <v>-639.09999999999854</v>
      </c>
      <c r="AB1087" s="146">
        <v>0</v>
      </c>
      <c r="AC1087" s="147">
        <f t="shared" si="237"/>
        <v>20639.099999999999</v>
      </c>
      <c r="AD1087" s="137">
        <f t="shared" si="253"/>
        <v>9554.7246792744536</v>
      </c>
      <c r="AE1087" s="138">
        <v>0.11269173273981201</v>
      </c>
      <c r="AF1087" s="137">
        <f t="shared" si="248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834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1034</v>
      </c>
      <c r="M1088" s="119" t="s">
        <v>45</v>
      </c>
      <c r="N1088" s="135">
        <v>0</v>
      </c>
      <c r="O1088" s="135" t="s">
        <v>46</v>
      </c>
      <c r="P1088" s="135" t="s">
        <v>848</v>
      </c>
      <c r="Q1088" s="137">
        <v>5566.5234710266895</v>
      </c>
      <c r="R1088" s="137">
        <v>0</v>
      </c>
      <c r="S1088" s="137"/>
      <c r="T1088" s="137">
        <f t="shared" si="234"/>
        <v>0</v>
      </c>
      <c r="U1088" s="137">
        <f t="shared" si="238"/>
        <v>0</v>
      </c>
      <c r="V1088" s="137">
        <v>0</v>
      </c>
      <c r="W1088" s="137">
        <f t="shared" si="239"/>
        <v>0</v>
      </c>
      <c r="X1088" s="137">
        <f t="shared" si="235"/>
        <v>0</v>
      </c>
      <c r="Y1088" s="137">
        <f t="shared" si="240"/>
        <v>0</v>
      </c>
      <c r="Z1088" s="137">
        <v>6069.8</v>
      </c>
      <c r="AA1088" s="137">
        <f t="shared" si="236"/>
        <v>-503.27652897331063</v>
      </c>
      <c r="AB1088" s="146">
        <v>0</v>
      </c>
      <c r="AC1088" s="147">
        <f t="shared" si="237"/>
        <v>6069.8</v>
      </c>
      <c r="AD1088" s="137">
        <f t="shared" si="253"/>
        <v>451.98077580630661</v>
      </c>
      <c r="AE1088" s="138">
        <v>0.11269173273981201</v>
      </c>
      <c r="AF1088" s="137">
        <f t="shared" si="248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hidden="1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888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4"/>
        <v>0</v>
      </c>
      <c r="U1089" s="137">
        <f t="shared" si="238"/>
        <v>0</v>
      </c>
      <c r="V1089" s="137">
        <v>20200</v>
      </c>
      <c r="W1089" s="137">
        <f t="shared" si="239"/>
        <v>-20200</v>
      </c>
      <c r="X1089" s="137">
        <f t="shared" si="235"/>
        <v>-19056.603773584906</v>
      </c>
      <c r="Y1089" s="137">
        <f t="shared" si="240"/>
        <v>-1143.3962264150941</v>
      </c>
      <c r="Z1089" s="137">
        <v>19792.25</v>
      </c>
      <c r="AA1089" s="137">
        <f t="shared" si="236"/>
        <v>407.75</v>
      </c>
      <c r="AB1089" s="146">
        <f t="shared" ref="AB1089:AB1094" si="254">IF(O1089="返货",Z1089/(1+N1089),IF(O1089="返现",Z1089,IF(O1089="折扣",Z1089*N1089,IF(O1089="无",Z1089))))</f>
        <v>18671.933962264149</v>
      </c>
      <c r="AC1089" s="147">
        <f t="shared" si="237"/>
        <v>1120.3160377358508</v>
      </c>
      <c r="AD1089" s="137">
        <f t="shared" ref="AD1089:AD1091" si="255">(Z1089-Q1089)*0.91072157793815</f>
        <v>18025.22915094635</v>
      </c>
      <c r="AE1089" s="138">
        <v>0.11269173273981201</v>
      </c>
      <c r="AF1089" s="137">
        <f t="shared" si="248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hidden="1" customHeight="1" x14ac:dyDescent="0.3">
      <c r="A1090" s="119">
        <v>2017</v>
      </c>
      <c r="B1090" s="119" t="s">
        <v>37</v>
      </c>
      <c r="C1090" s="119" t="s">
        <v>74</v>
      </c>
      <c r="D1090" s="119" t="s">
        <v>515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6">S1090*N1090</f>
        <v>0</v>
      </c>
      <c r="U1090" s="137">
        <f t="shared" si="238"/>
        <v>0</v>
      </c>
      <c r="V1090" s="137">
        <v>30000</v>
      </c>
      <c r="W1090" s="137">
        <f t="shared" si="239"/>
        <v>-30000</v>
      </c>
      <c r="X1090" s="137">
        <f t="shared" ref="X1090:X1153" si="257">W1090/(1+N1090)</f>
        <v>-27272.727272727272</v>
      </c>
      <c r="Y1090" s="137">
        <f t="shared" si="240"/>
        <v>-2727.2727272727279</v>
      </c>
      <c r="Z1090" s="137">
        <v>29992.7</v>
      </c>
      <c r="AA1090" s="137">
        <f t="shared" ref="AA1090:AA1153" si="258">Q1090+V1090-Z1090</f>
        <v>7.2999999999992724</v>
      </c>
      <c r="AB1090" s="146">
        <f t="shared" si="254"/>
        <v>27266.090909090908</v>
      </c>
      <c r="AC1090" s="147">
        <f t="shared" ref="AC1090:AC1153" si="259">IF(O1090="返现",Z1090*N1090,Z1090-AB1090)</f>
        <v>2726.6090909090926</v>
      </c>
      <c r="AD1090" s="137">
        <f t="shared" si="255"/>
        <v>27314.999070625552</v>
      </c>
      <c r="AE1090" s="138">
        <v>0.11269173273981201</v>
      </c>
      <c r="AF1090" s="137">
        <f t="shared" si="248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hidden="1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944</v>
      </c>
      <c r="G1091" s="131" t="s">
        <v>945</v>
      </c>
      <c r="H1091" s="131" t="s">
        <v>945</v>
      </c>
      <c r="I1091" s="119" t="s">
        <v>168</v>
      </c>
      <c r="J1091" s="119" t="s">
        <v>169</v>
      </c>
      <c r="K1091" s="119" t="s">
        <v>170</v>
      </c>
      <c r="L1091" s="119" t="s">
        <v>946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6"/>
        <v>0</v>
      </c>
      <c r="U1091" s="137">
        <f t="shared" ref="U1091:U1154" si="260">R1091+S1091+T1091</f>
        <v>0</v>
      </c>
      <c r="V1091" s="137">
        <v>20502.759999999998</v>
      </c>
      <c r="W1091" s="137">
        <f t="shared" ref="W1091:W1154" si="261">U1091-V1091</f>
        <v>-20502.759999999998</v>
      </c>
      <c r="X1091" s="137">
        <f t="shared" si="257"/>
        <v>-18984.037037037033</v>
      </c>
      <c r="Y1091" s="137">
        <f t="shared" ref="Y1091:Y1154" si="262">W1091-X1091</f>
        <v>-1518.7229629629655</v>
      </c>
      <c r="Z1091" s="137">
        <v>6284.5</v>
      </c>
      <c r="AA1091" s="137">
        <f t="shared" si="258"/>
        <v>14218.259999999998</v>
      </c>
      <c r="AB1091" s="146">
        <f t="shared" si="254"/>
        <v>5818.9814814814808</v>
      </c>
      <c r="AC1091" s="147">
        <f t="shared" si="259"/>
        <v>465.51851851851916</v>
      </c>
      <c r="AD1091" s="137">
        <f t="shared" si="255"/>
        <v>5723.4297565523038</v>
      </c>
      <c r="AE1091" s="138">
        <v>0.11269173273981201</v>
      </c>
      <c r="AF1091" s="137">
        <f t="shared" si="248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hidden="1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940</v>
      </c>
      <c r="G1092" s="131" t="s">
        <v>940</v>
      </c>
      <c r="H1092" s="131" t="s">
        <v>940</v>
      </c>
      <c r="I1092" s="119" t="s">
        <v>168</v>
      </c>
      <c r="J1092" s="119" t="s">
        <v>861</v>
      </c>
      <c r="K1092" s="119" t="s">
        <v>862</v>
      </c>
      <c r="L1092" s="119" t="s">
        <v>1035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6"/>
        <v>0</v>
      </c>
      <c r="U1092" s="137">
        <f t="shared" si="260"/>
        <v>0</v>
      </c>
      <c r="V1092" s="137">
        <v>49955</v>
      </c>
      <c r="W1092" s="137">
        <f t="shared" si="261"/>
        <v>-49955</v>
      </c>
      <c r="X1092" s="137">
        <f t="shared" si="257"/>
        <v>-48975.490196078434</v>
      </c>
      <c r="Y1092" s="137">
        <f t="shared" si="262"/>
        <v>-979.50980392156634</v>
      </c>
      <c r="Z1092" s="137">
        <v>49954.1</v>
      </c>
      <c r="AA1092" s="137">
        <f t="shared" si="258"/>
        <v>0.90000000000145519</v>
      </c>
      <c r="AB1092" s="146">
        <f t="shared" si="254"/>
        <v>48974.607843137252</v>
      </c>
      <c r="AC1092" s="147">
        <f t="shared" si="259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8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hidden="1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940</v>
      </c>
      <c r="G1093" s="131" t="s">
        <v>940</v>
      </c>
      <c r="H1093" s="131" t="s">
        <v>940</v>
      </c>
      <c r="I1093" s="119" t="s">
        <v>168</v>
      </c>
      <c r="J1093" s="119" t="s">
        <v>861</v>
      </c>
      <c r="K1093" s="119" t="s">
        <v>862</v>
      </c>
      <c r="L1093" s="119" t="s">
        <v>1036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6"/>
        <v>0</v>
      </c>
      <c r="U1093" s="137">
        <f t="shared" si="260"/>
        <v>0</v>
      </c>
      <c r="V1093" s="137">
        <v>50000</v>
      </c>
      <c r="W1093" s="137">
        <f t="shared" si="261"/>
        <v>-50000</v>
      </c>
      <c r="X1093" s="137">
        <f t="shared" si="257"/>
        <v>-49019.607843137252</v>
      </c>
      <c r="Y1093" s="137">
        <f t="shared" si="262"/>
        <v>-980.39215686274838</v>
      </c>
      <c r="Z1093" s="137">
        <v>0</v>
      </c>
      <c r="AA1093" s="137">
        <f t="shared" si="258"/>
        <v>50000</v>
      </c>
      <c r="AB1093" s="146">
        <f t="shared" si="254"/>
        <v>0</v>
      </c>
      <c r="AC1093" s="147">
        <f t="shared" si="259"/>
        <v>0</v>
      </c>
      <c r="AD1093" s="137">
        <f>Z1093*0.972201473425119-Q1093</f>
        <v>0</v>
      </c>
      <c r="AE1093" s="138">
        <v>0.1</v>
      </c>
      <c r="AF1093" s="137">
        <f t="shared" si="248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hidden="1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764</v>
      </c>
      <c r="G1094" s="119" t="s">
        <v>764</v>
      </c>
      <c r="H1094" s="119" t="s">
        <v>764</v>
      </c>
      <c r="I1094" s="119" t="s">
        <v>168</v>
      </c>
      <c r="J1094" s="119" t="s">
        <v>169</v>
      </c>
      <c r="K1094" s="119" t="s">
        <v>170</v>
      </c>
      <c r="L1094" s="119" t="s">
        <v>764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6"/>
        <v>4705.9000000000005</v>
      </c>
      <c r="U1094" s="137">
        <f t="shared" si="260"/>
        <v>240000.9</v>
      </c>
      <c r="V1094" s="137">
        <v>240000</v>
      </c>
      <c r="W1094" s="137">
        <f t="shared" si="261"/>
        <v>0.89999999999417923</v>
      </c>
      <c r="X1094" s="137">
        <f t="shared" si="257"/>
        <v>0.8823529411707639</v>
      </c>
      <c r="Y1094" s="137">
        <f t="shared" si="262"/>
        <v>1.7647058823415329E-2</v>
      </c>
      <c r="Z1094" s="137">
        <v>240473.60000000001</v>
      </c>
      <c r="AA1094" s="137">
        <f t="shared" si="258"/>
        <v>-473.60000000000582</v>
      </c>
      <c r="AB1094" s="146">
        <f t="shared" si="254"/>
        <v>235758.43137254904</v>
      </c>
      <c r="AC1094" s="147">
        <f t="shared" si="259"/>
        <v>4715.1686274509702</v>
      </c>
      <c r="AD1094" s="137">
        <f t="shared" ref="AD1094:AD1095" si="263">(Z1094-Q1094)*0.89807640489087</f>
        <v>215963.66615916512</v>
      </c>
      <c r="AE1094" s="138">
        <v>0.11269173273981201</v>
      </c>
      <c r="AF1094" s="137">
        <f t="shared" si="248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1037</v>
      </c>
      <c r="M1095" s="119" t="s">
        <v>45</v>
      </c>
      <c r="N1095" s="135">
        <v>0</v>
      </c>
      <c r="O1095" s="135" t="s">
        <v>46</v>
      </c>
      <c r="P1095" s="135" t="s">
        <v>848</v>
      </c>
      <c r="Q1095" s="137">
        <v>4854.2234314954903</v>
      </c>
      <c r="R1095" s="137">
        <v>0</v>
      </c>
      <c r="S1095" s="137"/>
      <c r="T1095" s="137">
        <f t="shared" si="256"/>
        <v>0</v>
      </c>
      <c r="U1095" s="137">
        <f t="shared" si="260"/>
        <v>0</v>
      </c>
      <c r="V1095" s="137">
        <v>0</v>
      </c>
      <c r="W1095" s="137">
        <f t="shared" si="261"/>
        <v>0</v>
      </c>
      <c r="X1095" s="137">
        <f t="shared" si="257"/>
        <v>0</v>
      </c>
      <c r="Y1095" s="137">
        <f t="shared" si="262"/>
        <v>0</v>
      </c>
      <c r="Z1095" s="137">
        <v>5293.1</v>
      </c>
      <c r="AA1095" s="137">
        <f t="shared" si="258"/>
        <v>-438.87656850451003</v>
      </c>
      <c r="AB1095" s="146">
        <v>0</v>
      </c>
      <c r="AC1095" s="147">
        <f t="shared" si="259"/>
        <v>5293.1</v>
      </c>
      <c r="AD1095" s="137">
        <f t="shared" si="263"/>
        <v>394.14469083337201</v>
      </c>
      <c r="AE1095" s="138">
        <v>0.11269173273981201</v>
      </c>
      <c r="AF1095" s="137">
        <f t="shared" si="248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hidden="1" customHeight="1" x14ac:dyDescent="0.3">
      <c r="A1096" s="119">
        <v>2017</v>
      </c>
      <c r="B1096" s="131" t="s">
        <v>37</v>
      </c>
      <c r="C1096" s="119" t="s">
        <v>430</v>
      </c>
      <c r="D1096" s="131"/>
      <c r="E1096" s="131"/>
      <c r="F1096" s="131" t="s">
        <v>794</v>
      </c>
      <c r="G1096" s="131" t="s">
        <v>794</v>
      </c>
      <c r="H1096" s="131" t="s">
        <v>794</v>
      </c>
      <c r="I1096" s="131" t="s">
        <v>241</v>
      </c>
      <c r="J1096" s="119" t="s">
        <v>242</v>
      </c>
      <c r="K1096" s="119" t="s">
        <v>243</v>
      </c>
      <c r="L1096" s="119" t="s">
        <v>794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6"/>
        <v>0</v>
      </c>
      <c r="U1096" s="137">
        <f t="shared" si="260"/>
        <v>0</v>
      </c>
      <c r="V1096" s="137">
        <v>18000</v>
      </c>
      <c r="W1096" s="137">
        <f t="shared" si="261"/>
        <v>-18000</v>
      </c>
      <c r="X1096" s="137">
        <f t="shared" si="257"/>
        <v>-18000</v>
      </c>
      <c r="Y1096" s="137">
        <f t="shared" si="262"/>
        <v>0</v>
      </c>
      <c r="Z1096" s="137">
        <v>18408.599999999999</v>
      </c>
      <c r="AA1096" s="137">
        <f t="shared" si="258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9"/>
        <v>0</v>
      </c>
      <c r="AD1096" s="137">
        <v>15431.3320426548</v>
      </c>
      <c r="AE1096" s="138">
        <v>0.17647058823529399</v>
      </c>
      <c r="AF1096" s="137">
        <f t="shared" si="248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hidden="1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1038</v>
      </c>
      <c r="M1097" s="119" t="s">
        <v>45</v>
      </c>
      <c r="N1097" s="135">
        <v>0</v>
      </c>
      <c r="O1097" s="135" t="s">
        <v>46</v>
      </c>
      <c r="P1097" s="135" t="s">
        <v>848</v>
      </c>
      <c r="Q1097" s="137">
        <v>2249.5181755710801</v>
      </c>
      <c r="R1097" s="137">
        <v>0</v>
      </c>
      <c r="S1097" s="137"/>
      <c r="T1097" s="137">
        <f t="shared" si="256"/>
        <v>0</v>
      </c>
      <c r="U1097" s="137">
        <f t="shared" si="260"/>
        <v>0</v>
      </c>
      <c r="V1097" s="137">
        <v>0</v>
      </c>
      <c r="W1097" s="137">
        <f t="shared" si="261"/>
        <v>0</v>
      </c>
      <c r="X1097" s="137">
        <f t="shared" si="257"/>
        <v>0</v>
      </c>
      <c r="Y1097" s="137">
        <f t="shared" si="262"/>
        <v>0</v>
      </c>
      <c r="Z1097" s="137">
        <v>2452.9</v>
      </c>
      <c r="AA1097" s="137">
        <f t="shared" si="258"/>
        <v>-203.38182442892003</v>
      </c>
      <c r="AB1097" s="146">
        <v>0</v>
      </c>
      <c r="AC1097" s="147">
        <f t="shared" si="259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8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hidden="1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1039</v>
      </c>
      <c r="F1098" s="119" t="s">
        <v>1040</v>
      </c>
      <c r="G1098" s="119" t="s">
        <v>1041</v>
      </c>
      <c r="H1098" s="119" t="s">
        <v>1042</v>
      </c>
      <c r="I1098" s="119" t="s">
        <v>168</v>
      </c>
      <c r="J1098" s="119" t="s">
        <v>570</v>
      </c>
      <c r="K1098" s="119" t="s">
        <v>1043</v>
      </c>
      <c r="L1098" s="119" t="s">
        <v>1040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6"/>
        <v>1200</v>
      </c>
      <c r="U1098" s="137">
        <f t="shared" si="260"/>
        <v>61200</v>
      </c>
      <c r="V1098" s="137">
        <v>61200</v>
      </c>
      <c r="W1098" s="137">
        <f t="shared" si="261"/>
        <v>0</v>
      </c>
      <c r="X1098" s="137">
        <f t="shared" si="257"/>
        <v>0</v>
      </c>
      <c r="Y1098" s="137">
        <f t="shared" si="262"/>
        <v>0</v>
      </c>
      <c r="Z1098" s="137">
        <v>0</v>
      </c>
      <c r="AA1098" s="137">
        <f t="shared" si="258"/>
        <v>61200</v>
      </c>
      <c r="AB1098" s="146">
        <f>IF(O1098="返货",Z1098/(1+N1098),IF(O1098="返现",Z1098,IF(O1098="折扣",Z1098*N1098,IF(O1098="无",Z1098))))</f>
        <v>0</v>
      </c>
      <c r="AC1098" s="147">
        <f t="shared" si="259"/>
        <v>0</v>
      </c>
      <c r="AD1098" s="137">
        <f>Z1098*0.981034800313914-Q1098</f>
        <v>0</v>
      </c>
      <c r="AE1098" s="138">
        <v>0.04</v>
      </c>
      <c r="AF1098" s="137">
        <f t="shared" ref="AF1098:AF1115" si="264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hidden="1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587</v>
      </c>
      <c r="G1099" s="119" t="s">
        <v>1044</v>
      </c>
      <c r="H1099" s="119" t="s">
        <v>1044</v>
      </c>
      <c r="I1099" s="119" t="s">
        <v>168</v>
      </c>
      <c r="J1099" s="119" t="s">
        <v>570</v>
      </c>
      <c r="K1099" s="119" t="s">
        <v>1043</v>
      </c>
      <c r="L1099" s="119" t="s">
        <v>587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6"/>
        <v>2400</v>
      </c>
      <c r="U1099" s="137">
        <f t="shared" si="260"/>
        <v>122400</v>
      </c>
      <c r="V1099" s="137">
        <v>120000</v>
      </c>
      <c r="W1099" s="137">
        <f t="shared" si="261"/>
        <v>2400</v>
      </c>
      <c r="X1099" s="137">
        <f t="shared" si="257"/>
        <v>2352.9411764705883</v>
      </c>
      <c r="Y1099" s="137">
        <f t="shared" si="262"/>
        <v>47.058823529411711</v>
      </c>
      <c r="Z1099" s="137">
        <v>0</v>
      </c>
      <c r="AA1099" s="137">
        <f t="shared" si="258"/>
        <v>120000</v>
      </c>
      <c r="AB1099" s="146">
        <f>IF(O1099="返货",Z1099/(1+N1099),IF(O1099="返现",Z1099,IF(O1099="折扣",Z1099*N1099,IF(O1099="无",Z1099))))</f>
        <v>0</v>
      </c>
      <c r="AC1099" s="147">
        <f t="shared" si="259"/>
        <v>0</v>
      </c>
      <c r="AD1099" s="137">
        <f>Z1099*0.981034800313914-Q1099</f>
        <v>0</v>
      </c>
      <c r="AE1099" s="138">
        <v>0.04</v>
      </c>
      <c r="AF1099" s="137">
        <f t="shared" si="264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hidden="1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851</v>
      </c>
      <c r="G1100" s="119" t="s">
        <v>851</v>
      </c>
      <c r="H1100" s="119" t="s">
        <v>851</v>
      </c>
      <c r="I1100" s="119" t="s">
        <v>168</v>
      </c>
      <c r="J1100" s="119" t="s">
        <v>570</v>
      </c>
      <c r="K1100" s="119" t="s">
        <v>1043</v>
      </c>
      <c r="L1100" s="119" t="s">
        <v>851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6"/>
        <v>48963.807199999996</v>
      </c>
      <c r="U1100" s="137">
        <f t="shared" si="260"/>
        <v>1273058.9871999999</v>
      </c>
      <c r="V1100" s="137">
        <v>1284000</v>
      </c>
      <c r="W1100" s="137">
        <f t="shared" si="261"/>
        <v>-10941.012800000142</v>
      </c>
      <c r="X1100" s="137">
        <f t="shared" si="257"/>
        <v>-10520.204615384751</v>
      </c>
      <c r="Y1100" s="137">
        <f t="shared" si="262"/>
        <v>-420.80818461539093</v>
      </c>
      <c r="Z1100" s="137">
        <v>829052.4</v>
      </c>
      <c r="AA1100" s="137">
        <f t="shared" si="258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9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4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570</v>
      </c>
      <c r="K1101" s="119" t="s">
        <v>1043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6"/>
        <v>2400</v>
      </c>
      <c r="U1101" s="137">
        <f t="shared" si="260"/>
        <v>62400</v>
      </c>
      <c r="V1101" s="137">
        <v>60000</v>
      </c>
      <c r="W1101" s="137">
        <f t="shared" si="261"/>
        <v>2400</v>
      </c>
      <c r="X1101" s="137">
        <f t="shared" si="257"/>
        <v>2307.6923076923076</v>
      </c>
      <c r="Y1101" s="137">
        <f t="shared" si="262"/>
        <v>92.307692307692378</v>
      </c>
      <c r="Z1101" s="137">
        <v>32000.2</v>
      </c>
      <c r="AA1101" s="137">
        <f t="shared" si="258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9"/>
        <v>1230.7769230769227</v>
      </c>
      <c r="AD1101" s="137">
        <f>Z1101*0.98051375-Q1101</f>
        <v>31376.636102749999</v>
      </c>
      <c r="AE1101" s="138">
        <v>0.08</v>
      </c>
      <c r="AF1101" s="137">
        <f t="shared" si="264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hidden="1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570</v>
      </c>
      <c r="K1102" s="119" t="s">
        <v>1043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6"/>
        <v>21000</v>
      </c>
      <c r="U1102" s="137">
        <f t="shared" si="260"/>
        <v>1071000</v>
      </c>
      <c r="V1102" s="137">
        <v>1050000</v>
      </c>
      <c r="W1102" s="137">
        <f t="shared" si="261"/>
        <v>21000</v>
      </c>
      <c r="X1102" s="137">
        <f t="shared" si="257"/>
        <v>20588.235294117647</v>
      </c>
      <c r="Y1102" s="137">
        <f t="shared" si="262"/>
        <v>411.76470588235316</v>
      </c>
      <c r="Z1102" s="137">
        <v>1117215.1000000001</v>
      </c>
      <c r="AA1102" s="137">
        <f t="shared" si="258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9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4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1045</v>
      </c>
      <c r="G1103" s="119" t="s">
        <v>1046</v>
      </c>
      <c r="H1103" s="119" t="s">
        <v>1046</v>
      </c>
      <c r="I1103" s="119" t="s">
        <v>168</v>
      </c>
      <c r="J1103" s="119" t="s">
        <v>570</v>
      </c>
      <c r="K1103" s="119" t="s">
        <v>1043</v>
      </c>
      <c r="L1103" s="119" t="s">
        <v>1045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6"/>
        <v>600</v>
      </c>
      <c r="U1103" s="137">
        <f t="shared" si="260"/>
        <v>30600</v>
      </c>
      <c r="V1103" s="137">
        <v>30600</v>
      </c>
      <c r="W1103" s="137">
        <f t="shared" si="261"/>
        <v>0</v>
      </c>
      <c r="X1103" s="137">
        <f t="shared" si="257"/>
        <v>0</v>
      </c>
      <c r="Y1103" s="137">
        <f t="shared" si="262"/>
        <v>0</v>
      </c>
      <c r="Z1103" s="137">
        <v>8336.7000000000007</v>
      </c>
      <c r="AA1103" s="137">
        <f t="shared" si="258"/>
        <v>22263.3</v>
      </c>
      <c r="AB1103" s="146">
        <f t="shared" ref="AB1103:AB1112" si="265">IF(O1103="返货",Z1103/(1+N1103),IF(O1103="返现",Z1103,IF(O1103="折扣",Z1103*N1103,IF(O1103="无",Z1103))))</f>
        <v>8173.2352941176478</v>
      </c>
      <c r="AC1103" s="147">
        <f t="shared" si="259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4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hidden="1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570</v>
      </c>
      <c r="K1104" s="119" t="s">
        <v>1043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6"/>
        <v>29000</v>
      </c>
      <c r="U1104" s="137">
        <f t="shared" si="260"/>
        <v>1479000</v>
      </c>
      <c r="V1104" s="137">
        <v>547000</v>
      </c>
      <c r="W1104" s="137">
        <f t="shared" si="261"/>
        <v>932000</v>
      </c>
      <c r="X1104" s="137">
        <f t="shared" si="257"/>
        <v>913725.49019607843</v>
      </c>
      <c r="Y1104" s="137">
        <f t="shared" si="262"/>
        <v>18274.509803921566</v>
      </c>
      <c r="Z1104" s="137">
        <v>361640.2</v>
      </c>
      <c r="AA1104" s="137">
        <f t="shared" si="258"/>
        <v>185359.8</v>
      </c>
      <c r="AB1104" s="146">
        <f t="shared" si="265"/>
        <v>354549.21568627452</v>
      </c>
      <c r="AC1104" s="147">
        <f t="shared" si="259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4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hidden="1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911</v>
      </c>
      <c r="G1105" s="119" t="s">
        <v>912</v>
      </c>
      <c r="H1105" s="119" t="s">
        <v>912</v>
      </c>
      <c r="I1105" s="119" t="s">
        <v>168</v>
      </c>
      <c r="J1105" s="119" t="s">
        <v>570</v>
      </c>
      <c r="K1105" s="119" t="s">
        <v>1043</v>
      </c>
      <c r="L1105" s="119" t="s">
        <v>912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6"/>
        <v>16153.846399999999</v>
      </c>
      <c r="U1105" s="137">
        <f t="shared" si="260"/>
        <v>420000.00639999995</v>
      </c>
      <c r="V1105" s="137">
        <v>420000.00640000001</v>
      </c>
      <c r="W1105" s="137">
        <f t="shared" si="261"/>
        <v>0</v>
      </c>
      <c r="X1105" s="137">
        <f t="shared" si="257"/>
        <v>0</v>
      </c>
      <c r="Y1105" s="137">
        <f t="shared" si="262"/>
        <v>0</v>
      </c>
      <c r="Z1105" s="137">
        <v>0</v>
      </c>
      <c r="AA1105" s="137">
        <f t="shared" si="258"/>
        <v>420000.00640000001</v>
      </c>
      <c r="AB1105" s="146">
        <f t="shared" si="265"/>
        <v>0</v>
      </c>
      <c r="AC1105" s="147">
        <f t="shared" si="259"/>
        <v>0</v>
      </c>
      <c r="AD1105" s="137">
        <f>Z1105*0.981034800313914-Q1105</f>
        <v>0</v>
      </c>
      <c r="AE1105" s="138">
        <v>0.04</v>
      </c>
      <c r="AF1105" s="137">
        <f t="shared" si="264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hidden="1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644</v>
      </c>
      <c r="F1106" s="119" t="s">
        <v>683</v>
      </c>
      <c r="G1106" s="119" t="s">
        <v>684</v>
      </c>
      <c r="H1106" s="119" t="s">
        <v>684</v>
      </c>
      <c r="I1106" s="119" t="s">
        <v>168</v>
      </c>
      <c r="J1106" s="119" t="s">
        <v>570</v>
      </c>
      <c r="K1106" s="119" t="s">
        <v>1043</v>
      </c>
      <c r="L1106" s="119" t="s">
        <v>683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6"/>
        <v>250000</v>
      </c>
      <c r="U1106" s="137">
        <f t="shared" si="260"/>
        <v>6500000</v>
      </c>
      <c r="V1106" s="137">
        <v>3600000</v>
      </c>
      <c r="W1106" s="137">
        <f t="shared" si="261"/>
        <v>2900000</v>
      </c>
      <c r="X1106" s="137">
        <f t="shared" si="257"/>
        <v>2788461.5384615385</v>
      </c>
      <c r="Y1106" s="137">
        <f t="shared" si="262"/>
        <v>111538.4615384615</v>
      </c>
      <c r="Z1106" s="137">
        <v>3461838.3</v>
      </c>
      <c r="AA1106" s="137">
        <f t="shared" si="258"/>
        <v>138161.70000000019</v>
      </c>
      <c r="AB1106" s="146">
        <f t="shared" si="265"/>
        <v>3328690.673076923</v>
      </c>
      <c r="AC1106" s="147">
        <f t="shared" si="259"/>
        <v>133147.62692307681</v>
      </c>
      <c r="AD1106" s="137">
        <v>3395898.5853595599</v>
      </c>
      <c r="AE1106" s="138">
        <v>0.04</v>
      </c>
      <c r="AF1106" s="137">
        <f t="shared" si="264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hidden="1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1047</v>
      </c>
      <c r="G1107" s="119" t="s">
        <v>1048</v>
      </c>
      <c r="H1107" s="119" t="s">
        <v>1048</v>
      </c>
      <c r="I1107" s="119" t="s">
        <v>168</v>
      </c>
      <c r="J1107" s="119" t="s">
        <v>570</v>
      </c>
      <c r="K1107" s="119" t="s">
        <v>1043</v>
      </c>
      <c r="L1107" s="119" t="s">
        <v>1047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6"/>
        <v>1800</v>
      </c>
      <c r="U1107" s="137">
        <f t="shared" si="260"/>
        <v>61800</v>
      </c>
      <c r="V1107" s="137">
        <v>60000</v>
      </c>
      <c r="W1107" s="137">
        <f t="shared" si="261"/>
        <v>1800</v>
      </c>
      <c r="X1107" s="137">
        <f t="shared" si="257"/>
        <v>1747.5728155339805</v>
      </c>
      <c r="Y1107" s="137">
        <f t="shared" si="262"/>
        <v>52.427184466019526</v>
      </c>
      <c r="Z1107" s="137">
        <v>59999.3</v>
      </c>
      <c r="AA1107" s="137">
        <f t="shared" si="258"/>
        <v>0.69999999999708962</v>
      </c>
      <c r="AB1107" s="146">
        <f t="shared" si="265"/>
        <v>58251.747572815533</v>
      </c>
      <c r="AC1107" s="147">
        <f t="shared" si="259"/>
        <v>1747.5524271844697</v>
      </c>
      <c r="AD1107" s="137">
        <f t="shared" ref="AD1107:AD1113" si="266">Z1107*0.981034800313914-Q1107</f>
        <v>58861.401294474621</v>
      </c>
      <c r="AE1107" s="138">
        <v>0.04</v>
      </c>
      <c r="AF1107" s="137">
        <f t="shared" si="264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hidden="1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1049</v>
      </c>
      <c r="G1108" s="119" t="s">
        <v>1050</v>
      </c>
      <c r="H1108" s="119" t="s">
        <v>1051</v>
      </c>
      <c r="I1108" s="119" t="s">
        <v>168</v>
      </c>
      <c r="J1108" s="119" t="s">
        <v>570</v>
      </c>
      <c r="K1108" s="119" t="s">
        <v>1043</v>
      </c>
      <c r="L1108" s="119" t="s">
        <v>1049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6"/>
        <v>200</v>
      </c>
      <c r="U1108" s="137">
        <f t="shared" si="260"/>
        <v>10200</v>
      </c>
      <c r="V1108" s="137">
        <v>10000</v>
      </c>
      <c r="W1108" s="137">
        <f t="shared" si="261"/>
        <v>200</v>
      </c>
      <c r="X1108" s="137">
        <f t="shared" si="257"/>
        <v>196.07843137254901</v>
      </c>
      <c r="Y1108" s="137">
        <f t="shared" si="262"/>
        <v>3.9215686274509949</v>
      </c>
      <c r="Z1108" s="137">
        <v>9998.9</v>
      </c>
      <c r="AA1108" s="137">
        <f t="shared" si="258"/>
        <v>1.1000000000003638</v>
      </c>
      <c r="AB1108" s="146">
        <f t="shared" si="265"/>
        <v>9802.8431372549021</v>
      </c>
      <c r="AC1108" s="147">
        <f t="shared" si="259"/>
        <v>196.05686274509753</v>
      </c>
      <c r="AD1108" s="137">
        <f t="shared" si="266"/>
        <v>9809.2688648587937</v>
      </c>
      <c r="AE1108" s="138">
        <v>0.04</v>
      </c>
      <c r="AF1108" s="137">
        <f t="shared" si="264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hidden="1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953</v>
      </c>
      <c r="G1109" s="119" t="s">
        <v>953</v>
      </c>
      <c r="H1109" s="119" t="s">
        <v>953</v>
      </c>
      <c r="I1109" s="119" t="s">
        <v>168</v>
      </c>
      <c r="J1109" s="119" t="s">
        <v>570</v>
      </c>
      <c r="K1109" s="119" t="s">
        <v>1043</v>
      </c>
      <c r="L1109" s="119" t="s">
        <v>954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6"/>
        <v>1200</v>
      </c>
      <c r="U1109" s="137">
        <f t="shared" si="260"/>
        <v>61200</v>
      </c>
      <c r="V1109" s="137">
        <v>70000</v>
      </c>
      <c r="W1109" s="137">
        <f t="shared" si="261"/>
        <v>-8800</v>
      </c>
      <c r="X1109" s="137">
        <f t="shared" si="257"/>
        <v>-8627.4509803921574</v>
      </c>
      <c r="Y1109" s="137">
        <f t="shared" si="262"/>
        <v>-172.54901960784264</v>
      </c>
      <c r="Z1109" s="137">
        <v>26039</v>
      </c>
      <c r="AA1109" s="137">
        <f t="shared" si="258"/>
        <v>43961</v>
      </c>
      <c r="AB1109" s="146">
        <f t="shared" si="265"/>
        <v>25528.431372549017</v>
      </c>
      <c r="AC1109" s="147">
        <f t="shared" si="259"/>
        <v>510.5686274509826</v>
      </c>
      <c r="AD1109" s="137">
        <f t="shared" si="266"/>
        <v>25545.165165374008</v>
      </c>
      <c r="AE1109" s="138">
        <v>0.04</v>
      </c>
      <c r="AF1109" s="137">
        <f t="shared" si="264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1052</v>
      </c>
      <c r="G1110" s="119" t="s">
        <v>1053</v>
      </c>
      <c r="H1110" s="119" t="s">
        <v>1053</v>
      </c>
      <c r="I1110" s="119" t="s">
        <v>168</v>
      </c>
      <c r="J1110" s="119" t="s">
        <v>570</v>
      </c>
      <c r="K1110" s="119" t="s">
        <v>1043</v>
      </c>
      <c r="L1110" s="119" t="s">
        <v>1052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6"/>
        <v>2600</v>
      </c>
      <c r="U1110" s="137">
        <f t="shared" si="260"/>
        <v>132600</v>
      </c>
      <c r="V1110" s="137">
        <v>132600</v>
      </c>
      <c r="W1110" s="137">
        <f t="shared" si="261"/>
        <v>0</v>
      </c>
      <c r="X1110" s="137">
        <f t="shared" si="257"/>
        <v>0</v>
      </c>
      <c r="Y1110" s="137">
        <f t="shared" si="262"/>
        <v>0</v>
      </c>
      <c r="Z1110" s="137">
        <v>6520.4</v>
      </c>
      <c r="AA1110" s="137">
        <f t="shared" si="258"/>
        <v>126079.6</v>
      </c>
      <c r="AB1110" s="146">
        <f t="shared" si="265"/>
        <v>6392.5490196078426</v>
      </c>
      <c r="AC1110" s="147">
        <f t="shared" si="259"/>
        <v>127.850980392157</v>
      </c>
      <c r="AD1110" s="137">
        <f t="shared" si="266"/>
        <v>6396.7393119668441</v>
      </c>
      <c r="AE1110" s="138">
        <v>0.04</v>
      </c>
      <c r="AF1110" s="137">
        <f t="shared" si="264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hidden="1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465</v>
      </c>
      <c r="F1111" s="119" t="s">
        <v>1054</v>
      </c>
      <c r="G1111" s="119" t="s">
        <v>1054</v>
      </c>
      <c r="H1111" s="119" t="s">
        <v>1054</v>
      </c>
      <c r="I1111" s="119" t="s">
        <v>168</v>
      </c>
      <c r="J1111" s="119" t="s">
        <v>570</v>
      </c>
      <c r="K1111" s="119" t="s">
        <v>1043</v>
      </c>
      <c r="L1111" s="119" t="s">
        <v>1054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6"/>
        <v>0</v>
      </c>
      <c r="U1111" s="137">
        <f t="shared" si="260"/>
        <v>10000</v>
      </c>
      <c r="V1111" s="137">
        <v>10200</v>
      </c>
      <c r="W1111" s="137">
        <f t="shared" si="261"/>
        <v>-200</v>
      </c>
      <c r="X1111" s="137">
        <f t="shared" si="257"/>
        <v>-200</v>
      </c>
      <c r="Y1111" s="137">
        <f t="shared" si="262"/>
        <v>0</v>
      </c>
      <c r="Z1111" s="137">
        <v>0</v>
      </c>
      <c r="AA1111" s="137">
        <f t="shared" si="258"/>
        <v>10200</v>
      </c>
      <c r="AB1111" s="146">
        <f t="shared" si="265"/>
        <v>0</v>
      </c>
      <c r="AC1111" s="147">
        <f t="shared" si="259"/>
        <v>0</v>
      </c>
      <c r="AD1111" s="137">
        <f t="shared" si="266"/>
        <v>0</v>
      </c>
      <c r="AE1111" s="138">
        <v>0.04</v>
      </c>
      <c r="AF1111" s="137">
        <f t="shared" si="264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hidden="1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493</v>
      </c>
      <c r="G1112" s="119" t="s">
        <v>494</v>
      </c>
      <c r="H1112" s="163" t="s">
        <v>495</v>
      </c>
      <c r="I1112" s="119" t="s">
        <v>168</v>
      </c>
      <c r="J1112" s="119" t="s">
        <v>570</v>
      </c>
      <c r="K1112" s="119" t="s">
        <v>1043</v>
      </c>
      <c r="L1112" s="119" t="s">
        <v>493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6"/>
        <v>91040</v>
      </c>
      <c r="U1112" s="137">
        <f t="shared" si="260"/>
        <v>4643040</v>
      </c>
      <c r="V1112" s="137">
        <v>4152000</v>
      </c>
      <c r="W1112" s="137">
        <f t="shared" si="261"/>
        <v>491040</v>
      </c>
      <c r="X1112" s="137">
        <f t="shared" si="257"/>
        <v>481411.76470588235</v>
      </c>
      <c r="Y1112" s="137">
        <f t="shared" si="262"/>
        <v>9628.2352941176505</v>
      </c>
      <c r="Z1112" s="137">
        <v>2053052.4</v>
      </c>
      <c r="AA1112" s="137">
        <f t="shared" si="258"/>
        <v>2098947.6</v>
      </c>
      <c r="AB1112" s="146">
        <f t="shared" si="265"/>
        <v>2012796.4705882352</v>
      </c>
      <c r="AC1112" s="147">
        <f t="shared" si="259"/>
        <v>40255.929411764722</v>
      </c>
      <c r="AD1112" s="137">
        <f t="shared" si="266"/>
        <v>2014115.8512680018</v>
      </c>
      <c r="AE1112" s="138">
        <v>0.04</v>
      </c>
      <c r="AF1112" s="137">
        <f t="shared" si="264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hidden="1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570</v>
      </c>
      <c r="K1113" s="119" t="s">
        <v>1043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6"/>
        <v>0</v>
      </c>
      <c r="U1113" s="137">
        <f t="shared" si="260"/>
        <v>0</v>
      </c>
      <c r="V1113" s="137">
        <v>20000</v>
      </c>
      <c r="W1113" s="137">
        <f t="shared" si="261"/>
        <v>-20000</v>
      </c>
      <c r="X1113" s="137">
        <f t="shared" si="257"/>
        <v>-19230.76923076923</v>
      </c>
      <c r="Y1113" s="137">
        <f t="shared" si="262"/>
        <v>-769.23076923076951</v>
      </c>
      <c r="Z1113" s="137">
        <v>33585.1</v>
      </c>
      <c r="AA1113" s="137">
        <f t="shared" si="258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9"/>
        <v>15222.984615384616</v>
      </c>
      <c r="AD1113" s="137">
        <f t="shared" si="266"/>
        <v>18459.651872022834</v>
      </c>
      <c r="AE1113" s="138">
        <v>0.04</v>
      </c>
      <c r="AF1113" s="137">
        <f t="shared" si="264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hidden="1" customHeight="1" x14ac:dyDescent="0.3">
      <c r="A1114" s="119">
        <v>2017</v>
      </c>
      <c r="C1114" s="119" t="s">
        <v>74</v>
      </c>
      <c r="D1114" s="119" t="s">
        <v>515</v>
      </c>
      <c r="F1114" s="131" t="s">
        <v>1055</v>
      </c>
      <c r="G1114" s="131"/>
      <c r="H1114" s="131"/>
      <c r="I1114" s="119" t="s">
        <v>168</v>
      </c>
      <c r="J1114" s="119" t="s">
        <v>570</v>
      </c>
      <c r="K1114" s="119" t="s">
        <v>1043</v>
      </c>
      <c r="L1114" s="119" t="s">
        <v>1055</v>
      </c>
      <c r="M1114" s="119" t="s">
        <v>45</v>
      </c>
      <c r="N1114" s="135">
        <v>0</v>
      </c>
      <c r="O1114" s="135" t="s">
        <v>46</v>
      </c>
      <c r="P1114" s="135" t="s">
        <v>850</v>
      </c>
      <c r="Q1114" s="137">
        <v>3345</v>
      </c>
      <c r="R1114" s="137">
        <v>0</v>
      </c>
      <c r="S1114" s="137"/>
      <c r="T1114" s="137">
        <f t="shared" si="256"/>
        <v>0</v>
      </c>
      <c r="U1114" s="137">
        <f t="shared" si="260"/>
        <v>0</v>
      </c>
      <c r="V1114" s="137">
        <v>0</v>
      </c>
      <c r="W1114" s="137">
        <f t="shared" si="261"/>
        <v>0</v>
      </c>
      <c r="X1114" s="137">
        <f t="shared" si="257"/>
        <v>0</v>
      </c>
      <c r="Y1114" s="137">
        <f t="shared" si="262"/>
        <v>0</v>
      </c>
      <c r="Z1114" s="137">
        <v>3345</v>
      </c>
      <c r="AA1114" s="137">
        <f t="shared" si="258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9"/>
        <v>3345</v>
      </c>
      <c r="AD1114" s="137">
        <v>0</v>
      </c>
      <c r="AE1114" s="138">
        <v>0.04</v>
      </c>
      <c r="AF1114" s="137">
        <f t="shared" si="264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hidden="1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570</v>
      </c>
      <c r="K1115" s="119" t="s">
        <v>1043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850</v>
      </c>
      <c r="Q1115" s="137">
        <v>4978.8</v>
      </c>
      <c r="R1115" s="137">
        <v>0</v>
      </c>
      <c r="S1115" s="137"/>
      <c r="T1115" s="137">
        <f t="shared" si="256"/>
        <v>0</v>
      </c>
      <c r="U1115" s="137">
        <f t="shared" si="260"/>
        <v>0</v>
      </c>
      <c r="V1115" s="137">
        <v>0</v>
      </c>
      <c r="W1115" s="137">
        <f t="shared" si="261"/>
        <v>0</v>
      </c>
      <c r="X1115" s="137">
        <f t="shared" si="257"/>
        <v>0</v>
      </c>
      <c r="Y1115" s="137">
        <f t="shared" si="262"/>
        <v>0</v>
      </c>
      <c r="Z1115" s="137">
        <v>4978.8</v>
      </c>
      <c r="AA1115" s="137">
        <f t="shared" si="258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9"/>
        <v>4978.8</v>
      </c>
      <c r="AD1115" s="137">
        <v>0</v>
      </c>
      <c r="AE1115" s="138">
        <v>0.04</v>
      </c>
      <c r="AF1115" s="137">
        <f t="shared" si="264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hidden="1" customHeight="1" x14ac:dyDescent="0.3">
      <c r="A1116" s="119">
        <v>2017</v>
      </c>
      <c r="F1116" s="131" t="s">
        <v>1056</v>
      </c>
      <c r="G1116" s="131"/>
      <c r="H1116" s="131"/>
      <c r="I1116" s="119" t="s">
        <v>168</v>
      </c>
      <c r="J1116" s="119" t="s">
        <v>570</v>
      </c>
      <c r="K1116" s="119" t="s">
        <v>1043</v>
      </c>
      <c r="L1116" s="119" t="s">
        <v>1056</v>
      </c>
      <c r="M1116" s="119" t="s">
        <v>45</v>
      </c>
      <c r="N1116" s="135">
        <v>0</v>
      </c>
      <c r="O1116" s="135" t="s">
        <v>46</v>
      </c>
      <c r="P1116" s="135" t="s">
        <v>850</v>
      </c>
      <c r="Q1116" s="137">
        <v>6717.2</v>
      </c>
      <c r="R1116" s="137">
        <v>0</v>
      </c>
      <c r="S1116" s="137"/>
      <c r="T1116" s="137">
        <f t="shared" si="256"/>
        <v>0</v>
      </c>
      <c r="U1116" s="137">
        <f t="shared" si="260"/>
        <v>0</v>
      </c>
      <c r="V1116" s="137">
        <v>0</v>
      </c>
      <c r="W1116" s="137">
        <f t="shared" si="261"/>
        <v>0</v>
      </c>
      <c r="X1116" s="137">
        <f t="shared" si="257"/>
        <v>0</v>
      </c>
      <c r="Y1116" s="137">
        <f t="shared" si="262"/>
        <v>0</v>
      </c>
      <c r="Z1116" s="137">
        <v>6717.2</v>
      </c>
      <c r="AA1116" s="137">
        <f t="shared" si="258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9"/>
        <v>6717.2</v>
      </c>
      <c r="AD1116" s="137">
        <v>0</v>
      </c>
      <c r="AE1116" s="138">
        <v>0.04</v>
      </c>
      <c r="AF1116" s="137">
        <f t="shared" ref="AF1116:AF1154" si="267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hidden="1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1057</v>
      </c>
      <c r="G1117" s="119" t="s">
        <v>1058</v>
      </c>
      <c r="H1117" s="119" t="s">
        <v>1058</v>
      </c>
      <c r="I1117" s="119" t="s">
        <v>168</v>
      </c>
      <c r="J1117" s="119" t="s">
        <v>600</v>
      </c>
      <c r="K1117" s="119" t="s">
        <v>1059</v>
      </c>
      <c r="L1117" s="119" t="s">
        <v>1057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6"/>
        <v>0</v>
      </c>
      <c r="U1117" s="137">
        <f t="shared" si="260"/>
        <v>10000</v>
      </c>
      <c r="V1117" s="137">
        <v>0</v>
      </c>
      <c r="W1117" s="137">
        <f t="shared" si="261"/>
        <v>10000</v>
      </c>
      <c r="X1117" s="137">
        <f t="shared" si="257"/>
        <v>10000</v>
      </c>
      <c r="Y1117" s="137">
        <f t="shared" si="262"/>
        <v>0</v>
      </c>
      <c r="Z1117" s="137">
        <v>0</v>
      </c>
      <c r="AA1117" s="137">
        <f t="shared" si="258"/>
        <v>0</v>
      </c>
      <c r="AB1117" s="146">
        <f t="shared" ref="AB1117:AB1154" si="268">IF(O1117="返货",Z1117/(1+N1117),IF(O1117="返现",Z1117,IF(O1117="折扣",Z1117*N1117,IF(O1117="无",Z1117))))</f>
        <v>0</v>
      </c>
      <c r="AC1117" s="147">
        <f t="shared" si="259"/>
        <v>0</v>
      </c>
      <c r="AD1117" s="137">
        <v>0</v>
      </c>
      <c r="AE1117" s="138">
        <v>0.04</v>
      </c>
      <c r="AF1117" s="137">
        <f t="shared" si="267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hidden="1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600</v>
      </c>
      <c r="K1118" s="119" t="s">
        <v>1060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6"/>
        <v>14000</v>
      </c>
      <c r="U1118" s="137">
        <f t="shared" si="260"/>
        <v>714000</v>
      </c>
      <c r="V1118" s="137">
        <v>1646000</v>
      </c>
      <c r="W1118" s="137">
        <f t="shared" si="261"/>
        <v>-932000</v>
      </c>
      <c r="X1118" s="137">
        <f t="shared" si="257"/>
        <v>-913725.49019607843</v>
      </c>
      <c r="Y1118" s="137">
        <f t="shared" si="262"/>
        <v>-18274.509803921566</v>
      </c>
      <c r="Z1118" s="137">
        <v>1601768</v>
      </c>
      <c r="AA1118" s="137">
        <f t="shared" si="258"/>
        <v>44232</v>
      </c>
      <c r="AB1118" s="146">
        <f t="shared" si="268"/>
        <v>1570360.7843137255</v>
      </c>
      <c r="AC1118" s="147">
        <f t="shared" si="259"/>
        <v>31407.21568627446</v>
      </c>
      <c r="AD1118" s="137">
        <v>1601768</v>
      </c>
      <c r="AE1118" s="138">
        <v>0.06</v>
      </c>
      <c r="AF1118" s="137">
        <f t="shared" si="267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hidden="1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911</v>
      </c>
      <c r="G1119" s="119" t="s">
        <v>912</v>
      </c>
      <c r="H1119" s="119" t="s">
        <v>912</v>
      </c>
      <c r="I1119" s="119" t="s">
        <v>168</v>
      </c>
      <c r="J1119" s="119" t="s">
        <v>600</v>
      </c>
      <c r="K1119" s="119" t="s">
        <v>1059</v>
      </c>
      <c r="L1119" s="119" t="s">
        <v>912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6"/>
        <v>10384.6152</v>
      </c>
      <c r="U1119" s="137">
        <f t="shared" si="260"/>
        <v>269999.9952</v>
      </c>
      <c r="V1119" s="137">
        <v>269999.9952</v>
      </c>
      <c r="W1119" s="137">
        <f t="shared" si="261"/>
        <v>0</v>
      </c>
      <c r="X1119" s="137">
        <f t="shared" si="257"/>
        <v>0</v>
      </c>
      <c r="Y1119" s="137">
        <f t="shared" si="262"/>
        <v>0</v>
      </c>
      <c r="Z1119" s="137">
        <v>152938.79999999999</v>
      </c>
      <c r="AA1119" s="137">
        <f t="shared" si="258"/>
        <v>117061.19520000002</v>
      </c>
      <c r="AB1119" s="146">
        <f t="shared" si="268"/>
        <v>147056.53846153844</v>
      </c>
      <c r="AC1119" s="147">
        <f t="shared" si="259"/>
        <v>5882.2615384615492</v>
      </c>
      <c r="AD1119" s="137">
        <v>152938.79999999999</v>
      </c>
      <c r="AE1119" s="138">
        <v>0.04</v>
      </c>
      <c r="AF1119" s="137">
        <f t="shared" si="267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hidden="1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911</v>
      </c>
      <c r="G1120" s="119" t="s">
        <v>912</v>
      </c>
      <c r="H1120" s="119" t="s">
        <v>912</v>
      </c>
      <c r="I1120" s="119" t="s">
        <v>168</v>
      </c>
      <c r="J1120" s="119" t="s">
        <v>600</v>
      </c>
      <c r="K1120" s="119" t="s">
        <v>1060</v>
      </c>
      <c r="L1120" s="119" t="s">
        <v>912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6"/>
        <v>16153.846000000001</v>
      </c>
      <c r="U1120" s="137">
        <f t="shared" si="260"/>
        <v>419999.99600000004</v>
      </c>
      <c r="V1120" s="137">
        <v>419999.99599999998</v>
      </c>
      <c r="W1120" s="137">
        <f t="shared" si="261"/>
        <v>0</v>
      </c>
      <c r="X1120" s="137">
        <f t="shared" si="257"/>
        <v>0</v>
      </c>
      <c r="Y1120" s="137">
        <f t="shared" si="262"/>
        <v>0</v>
      </c>
      <c r="Z1120" s="137">
        <v>520809</v>
      </c>
      <c r="AA1120" s="137">
        <f t="shared" si="258"/>
        <v>-100809.00400000002</v>
      </c>
      <c r="AB1120" s="146">
        <f t="shared" si="268"/>
        <v>500777.88461538462</v>
      </c>
      <c r="AC1120" s="147">
        <f t="shared" si="259"/>
        <v>20031.115384615376</v>
      </c>
      <c r="AD1120" s="137">
        <v>520809</v>
      </c>
      <c r="AE1120" s="138">
        <v>0.06</v>
      </c>
      <c r="AF1120" s="137">
        <f t="shared" si="267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hidden="1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644</v>
      </c>
      <c r="F1121" s="119" t="s">
        <v>683</v>
      </c>
      <c r="G1121" s="119" t="s">
        <v>684</v>
      </c>
      <c r="H1121" s="119" t="s">
        <v>684</v>
      </c>
      <c r="I1121" s="119" t="s">
        <v>168</v>
      </c>
      <c r="J1121" s="119" t="s">
        <v>600</v>
      </c>
      <c r="K1121" s="119" t="s">
        <v>1059</v>
      </c>
      <c r="L1121" s="119" t="s">
        <v>683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6"/>
        <v>72000</v>
      </c>
      <c r="U1121" s="137">
        <f t="shared" si="260"/>
        <v>1872000</v>
      </c>
      <c r="V1121" s="137">
        <v>2375000</v>
      </c>
      <c r="W1121" s="137">
        <f t="shared" si="261"/>
        <v>-503000</v>
      </c>
      <c r="X1121" s="137">
        <f t="shared" si="257"/>
        <v>-483653.84615384613</v>
      </c>
      <c r="Y1121" s="137">
        <f t="shared" si="262"/>
        <v>-19346.153846153873</v>
      </c>
      <c r="Z1121" s="137">
        <v>1716895.7</v>
      </c>
      <c r="AA1121" s="137">
        <f t="shared" si="258"/>
        <v>658104.30000000005</v>
      </c>
      <c r="AB1121" s="146">
        <f t="shared" si="268"/>
        <v>1650861.25</v>
      </c>
      <c r="AC1121" s="147">
        <f t="shared" si="259"/>
        <v>66034.449999999953</v>
      </c>
      <c r="AD1121" s="137">
        <v>1716895.7</v>
      </c>
      <c r="AE1121" s="138">
        <v>0.04</v>
      </c>
      <c r="AF1121" s="137">
        <f t="shared" si="267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hidden="1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683</v>
      </c>
      <c r="G1122" s="119" t="s">
        <v>684</v>
      </c>
      <c r="H1122" s="119" t="s">
        <v>684</v>
      </c>
      <c r="I1122" s="119" t="s">
        <v>168</v>
      </c>
      <c r="J1122" s="119" t="s">
        <v>600</v>
      </c>
      <c r="K1122" s="119" t="s">
        <v>1060</v>
      </c>
      <c r="L1122" s="119" t="s">
        <v>683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6"/>
        <v>32000</v>
      </c>
      <c r="U1122" s="137">
        <f t="shared" si="260"/>
        <v>832000</v>
      </c>
      <c r="V1122" s="137">
        <v>3275000</v>
      </c>
      <c r="W1122" s="137">
        <f t="shared" si="261"/>
        <v>-2443000</v>
      </c>
      <c r="X1122" s="137">
        <f t="shared" si="257"/>
        <v>-2349038.4615384615</v>
      </c>
      <c r="Y1122" s="137">
        <f t="shared" si="262"/>
        <v>-93961.538461538497</v>
      </c>
      <c r="Z1122" s="137">
        <v>3824496.8</v>
      </c>
      <c r="AA1122" s="137">
        <f t="shared" si="258"/>
        <v>-549496.79999999981</v>
      </c>
      <c r="AB1122" s="146">
        <f t="shared" si="268"/>
        <v>3677400.769230769</v>
      </c>
      <c r="AC1122" s="147">
        <f t="shared" si="259"/>
        <v>147096.0307692308</v>
      </c>
      <c r="AD1122" s="137">
        <v>3824496.8</v>
      </c>
      <c r="AE1122" s="138">
        <v>0.06</v>
      </c>
      <c r="AF1122" s="137">
        <f t="shared" si="267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hidden="1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600</v>
      </c>
      <c r="K1123" s="119" t="s">
        <v>1059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6"/>
        <v>0</v>
      </c>
      <c r="U1123" s="137">
        <f t="shared" si="260"/>
        <v>30000</v>
      </c>
      <c r="V1123" s="137">
        <v>30000</v>
      </c>
      <c r="W1123" s="137">
        <f t="shared" si="261"/>
        <v>0</v>
      </c>
      <c r="X1123" s="137">
        <f t="shared" si="257"/>
        <v>0</v>
      </c>
      <c r="Y1123" s="137">
        <f t="shared" si="262"/>
        <v>0</v>
      </c>
      <c r="Z1123" s="137">
        <v>1660.9</v>
      </c>
      <c r="AA1123" s="137">
        <f t="shared" si="258"/>
        <v>28339.1</v>
      </c>
      <c r="AB1123" s="146">
        <f t="shared" si="268"/>
        <v>1660.9</v>
      </c>
      <c r="AC1123" s="147">
        <f t="shared" si="259"/>
        <v>0</v>
      </c>
      <c r="AD1123" s="137">
        <v>1660.9</v>
      </c>
      <c r="AE1123" s="138">
        <v>0.04</v>
      </c>
      <c r="AF1123" s="137">
        <f t="shared" si="267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600</v>
      </c>
      <c r="K1124" s="119" t="s">
        <v>1059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6"/>
        <v>0</v>
      </c>
      <c r="U1124" s="137">
        <f t="shared" si="260"/>
        <v>0</v>
      </c>
      <c r="V1124" s="137">
        <v>2000</v>
      </c>
      <c r="W1124" s="137">
        <f t="shared" si="261"/>
        <v>-2000</v>
      </c>
      <c r="X1124" s="137">
        <f t="shared" si="257"/>
        <v>-2000</v>
      </c>
      <c r="Y1124" s="137">
        <f t="shared" si="262"/>
        <v>0</v>
      </c>
      <c r="Z1124" s="137">
        <v>0</v>
      </c>
      <c r="AA1124" s="137">
        <f t="shared" si="258"/>
        <v>2000</v>
      </c>
      <c r="AB1124" s="146">
        <v>0</v>
      </c>
      <c r="AC1124" s="147" t="e">
        <f t="shared" si="259"/>
        <v>#N/A</v>
      </c>
      <c r="AD1124" s="137">
        <v>0</v>
      </c>
      <c r="AE1124" s="138">
        <v>0.08</v>
      </c>
      <c r="AF1124" s="137">
        <f t="shared" si="267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600</v>
      </c>
      <c r="K1125" s="119" t="s">
        <v>1060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6"/>
        <v>0</v>
      </c>
      <c r="U1125" s="137">
        <f t="shared" si="260"/>
        <v>60000</v>
      </c>
      <c r="V1125" s="137">
        <v>63000</v>
      </c>
      <c r="W1125" s="137">
        <f t="shared" si="261"/>
        <v>-3000</v>
      </c>
      <c r="X1125" s="137">
        <f t="shared" si="257"/>
        <v>-3000</v>
      </c>
      <c r="Y1125" s="137">
        <f t="shared" si="262"/>
        <v>0</v>
      </c>
      <c r="Z1125" s="137">
        <v>88413.6</v>
      </c>
      <c r="AA1125" s="137">
        <f t="shared" si="258"/>
        <v>-25413.600000000006</v>
      </c>
      <c r="AB1125" s="146">
        <f t="shared" si="268"/>
        <v>88413.6</v>
      </c>
      <c r="AC1125" s="147">
        <f t="shared" si="259"/>
        <v>0</v>
      </c>
      <c r="AD1125" s="137">
        <v>88413.6</v>
      </c>
      <c r="AE1125" s="138">
        <v>0.06</v>
      </c>
      <c r="AF1125" s="137">
        <f t="shared" si="267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465</v>
      </c>
      <c r="F1126" s="119" t="s">
        <v>1061</v>
      </c>
      <c r="G1126" s="119" t="s">
        <v>1061</v>
      </c>
      <c r="H1126" s="119" t="s">
        <v>1061</v>
      </c>
      <c r="I1126" s="119" t="s">
        <v>168</v>
      </c>
      <c r="J1126" s="119" t="s">
        <v>600</v>
      </c>
      <c r="K1126" s="119" t="s">
        <v>1060</v>
      </c>
      <c r="L1126" s="119" t="s">
        <v>1062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6"/>
        <v>200</v>
      </c>
      <c r="U1126" s="137">
        <f t="shared" si="260"/>
        <v>10200</v>
      </c>
      <c r="V1126" s="137">
        <v>10200</v>
      </c>
      <c r="W1126" s="137">
        <f t="shared" si="261"/>
        <v>0</v>
      </c>
      <c r="X1126" s="137">
        <f t="shared" si="257"/>
        <v>0</v>
      </c>
      <c r="Y1126" s="137">
        <f t="shared" si="262"/>
        <v>0</v>
      </c>
      <c r="Z1126" s="137">
        <v>1986.1</v>
      </c>
      <c r="AA1126" s="137">
        <f t="shared" si="258"/>
        <v>8213.9</v>
      </c>
      <c r="AB1126" s="146">
        <f t="shared" si="268"/>
        <v>1947.1568627450979</v>
      </c>
      <c r="AC1126" s="147">
        <f t="shared" si="259"/>
        <v>38.943137254902013</v>
      </c>
      <c r="AD1126" s="137">
        <v>1986.1</v>
      </c>
      <c r="AE1126" s="138">
        <v>0.06</v>
      </c>
      <c r="AF1126" s="137">
        <f t="shared" si="267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hidden="1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475</v>
      </c>
      <c r="G1127" s="119" t="s">
        <v>475</v>
      </c>
      <c r="H1127" s="119" t="s">
        <v>475</v>
      </c>
      <c r="I1127" s="119" t="s">
        <v>168</v>
      </c>
      <c r="J1127" s="119" t="s">
        <v>600</v>
      </c>
      <c r="K1127" s="119" t="s">
        <v>1060</v>
      </c>
      <c r="L1127" s="119" t="s">
        <v>980</v>
      </c>
      <c r="M1127" s="119" t="s">
        <v>45</v>
      </c>
      <c r="N1127" s="136">
        <v>0.04</v>
      </c>
      <c r="O1127" s="135" t="s">
        <v>50</v>
      </c>
      <c r="P1127" s="135" t="s">
        <v>437</v>
      </c>
      <c r="Q1127" s="137">
        <v>0</v>
      </c>
      <c r="R1127" s="137">
        <v>0</v>
      </c>
      <c r="S1127" s="137">
        <v>719825.2</v>
      </c>
      <c r="T1127" s="137">
        <f t="shared" si="256"/>
        <v>28793.007999999998</v>
      </c>
      <c r="U1127" s="137">
        <f t="shared" si="260"/>
        <v>748618.20799999998</v>
      </c>
      <c r="V1127" s="137">
        <v>688221.7</v>
      </c>
      <c r="W1127" s="137">
        <f t="shared" si="261"/>
        <v>60396.508000000031</v>
      </c>
      <c r="X1127" s="137">
        <f t="shared" si="257"/>
        <v>58073.565384615409</v>
      </c>
      <c r="Y1127" s="137">
        <f t="shared" si="262"/>
        <v>2322.9426153846216</v>
      </c>
      <c r="Z1127" s="137">
        <f>564061-Z1164</f>
        <v>441839.3</v>
      </c>
      <c r="AA1127" s="137">
        <f t="shared" si="258"/>
        <v>246382.39999999997</v>
      </c>
      <c r="AB1127" s="146">
        <f t="shared" si="268"/>
        <v>424845.48076923075</v>
      </c>
      <c r="AC1127" s="147">
        <f t="shared" si="259"/>
        <v>16993.819230769237</v>
      </c>
      <c r="AD1127" s="137">
        <v>564061</v>
      </c>
      <c r="AE1127" s="138">
        <v>0.06</v>
      </c>
      <c r="AF1127" s="137">
        <f t="shared" si="267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hidden="1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1052</v>
      </c>
      <c r="G1128" s="119" t="s">
        <v>1053</v>
      </c>
      <c r="H1128" s="119" t="s">
        <v>1053</v>
      </c>
      <c r="I1128" s="119" t="s">
        <v>168</v>
      </c>
      <c r="J1128" s="119" t="s">
        <v>600</v>
      </c>
      <c r="K1128" s="119" t="s">
        <v>1060</v>
      </c>
      <c r="L1128" s="119" t="s">
        <v>1052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6"/>
        <v>400</v>
      </c>
      <c r="U1128" s="137">
        <f t="shared" si="260"/>
        <v>20400</v>
      </c>
      <c r="V1128" s="137">
        <v>20400</v>
      </c>
      <c r="W1128" s="137">
        <f t="shared" si="261"/>
        <v>0</v>
      </c>
      <c r="X1128" s="137">
        <f t="shared" si="257"/>
        <v>0</v>
      </c>
      <c r="Y1128" s="137">
        <f t="shared" si="262"/>
        <v>0</v>
      </c>
      <c r="Z1128" s="137">
        <v>107779.9</v>
      </c>
      <c r="AA1128" s="137">
        <f t="shared" si="258"/>
        <v>-87379.9</v>
      </c>
      <c r="AB1128" s="146">
        <f t="shared" si="268"/>
        <v>105666.56862745098</v>
      </c>
      <c r="AC1128" s="147">
        <f t="shared" si="259"/>
        <v>2113.3313725490152</v>
      </c>
      <c r="AD1128" s="137">
        <v>107779.9</v>
      </c>
      <c r="AE1128" s="138">
        <v>0.06</v>
      </c>
      <c r="AF1128" s="137">
        <f t="shared" si="267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hidden="1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493</v>
      </c>
      <c r="G1129" s="119" t="s">
        <v>494</v>
      </c>
      <c r="H1129" s="163" t="s">
        <v>495</v>
      </c>
      <c r="I1129" s="119" t="s">
        <v>168</v>
      </c>
      <c r="J1129" s="119" t="s">
        <v>600</v>
      </c>
      <c r="K1129" s="119" t="s">
        <v>1060</v>
      </c>
      <c r="L1129" s="119" t="s">
        <v>493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6"/>
        <v>40400</v>
      </c>
      <c r="U1129" s="137">
        <f t="shared" si="260"/>
        <v>2060400</v>
      </c>
      <c r="V1129" s="137">
        <v>2210000</v>
      </c>
      <c r="W1129" s="137">
        <f t="shared" si="261"/>
        <v>-149600</v>
      </c>
      <c r="X1129" s="137">
        <f t="shared" si="257"/>
        <v>-146666.66666666666</v>
      </c>
      <c r="Y1129" s="137">
        <f t="shared" si="262"/>
        <v>-2933.333333333343</v>
      </c>
      <c r="Z1129" s="137">
        <v>3347763.3</v>
      </c>
      <c r="AA1129" s="137">
        <f t="shared" si="258"/>
        <v>-1137763.2999999998</v>
      </c>
      <c r="AB1129" s="146">
        <f t="shared" si="268"/>
        <v>3282120.8823529407</v>
      </c>
      <c r="AC1129" s="147">
        <f t="shared" si="259"/>
        <v>65642.417647059076</v>
      </c>
      <c r="AD1129" s="137">
        <v>3347763.3</v>
      </c>
      <c r="AE1129" s="138">
        <v>0.06</v>
      </c>
      <c r="AF1129" s="137">
        <f t="shared" si="267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hidden="1" customHeight="1" x14ac:dyDescent="0.3">
      <c r="A1130" s="119">
        <v>2017</v>
      </c>
      <c r="B1130" s="119" t="s">
        <v>37</v>
      </c>
      <c r="C1130" s="119" t="s">
        <v>74</v>
      </c>
      <c r="D1130" s="119" t="s">
        <v>515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600</v>
      </c>
      <c r="K1130" s="119" t="s">
        <v>1059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6"/>
        <v>0</v>
      </c>
      <c r="U1130" s="137">
        <f t="shared" si="260"/>
        <v>0</v>
      </c>
      <c r="V1130" s="137">
        <v>0</v>
      </c>
      <c r="W1130" s="137">
        <f t="shared" si="261"/>
        <v>0</v>
      </c>
      <c r="X1130" s="137">
        <f t="shared" si="257"/>
        <v>0</v>
      </c>
      <c r="Y1130" s="137">
        <f t="shared" si="262"/>
        <v>0</v>
      </c>
      <c r="Z1130" s="137">
        <v>72438.3</v>
      </c>
      <c r="AA1130" s="137">
        <f t="shared" si="258"/>
        <v>-72438.3</v>
      </c>
      <c r="AB1130" s="146">
        <f t="shared" si="268"/>
        <v>71017.941176470587</v>
      </c>
      <c r="AC1130" s="147">
        <f t="shared" si="259"/>
        <v>1420.3588235294155</v>
      </c>
      <c r="AD1130" s="137">
        <v>72438.3</v>
      </c>
      <c r="AE1130" s="138">
        <v>0.04</v>
      </c>
      <c r="AF1130" s="137">
        <f t="shared" si="267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hidden="1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493</v>
      </c>
      <c r="G1131" s="131" t="s">
        <v>494</v>
      </c>
      <c r="H1131" s="158" t="s">
        <v>495</v>
      </c>
      <c r="I1131" s="119" t="s">
        <v>168</v>
      </c>
      <c r="J1131" s="119" t="s">
        <v>600</v>
      </c>
      <c r="K1131" s="119" t="s">
        <v>1059</v>
      </c>
      <c r="L1131" s="119" t="s">
        <v>493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6"/>
        <v>0</v>
      </c>
      <c r="U1131" s="137">
        <f t="shared" si="260"/>
        <v>0</v>
      </c>
      <c r="V1131" s="137">
        <v>0</v>
      </c>
      <c r="W1131" s="137">
        <f t="shared" si="261"/>
        <v>0</v>
      </c>
      <c r="X1131" s="137">
        <f t="shared" si="257"/>
        <v>0</v>
      </c>
      <c r="Y1131" s="137">
        <f t="shared" si="262"/>
        <v>0</v>
      </c>
      <c r="Z1131" s="137">
        <v>797724.5</v>
      </c>
      <c r="AA1131" s="137">
        <f t="shared" si="258"/>
        <v>-797724.5</v>
      </c>
      <c r="AB1131" s="146">
        <f t="shared" si="268"/>
        <v>782082.84313725494</v>
      </c>
      <c r="AC1131" s="147">
        <f t="shared" si="259"/>
        <v>15641.656862745062</v>
      </c>
      <c r="AD1131" s="137">
        <v>797724.5</v>
      </c>
      <c r="AE1131" s="138">
        <v>0.04</v>
      </c>
      <c r="AF1131" s="137">
        <f t="shared" si="267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hidden="1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587</v>
      </c>
      <c r="G1132" s="131" t="s">
        <v>588</v>
      </c>
      <c r="H1132" s="131" t="s">
        <v>588</v>
      </c>
      <c r="I1132" s="119" t="s">
        <v>168</v>
      </c>
      <c r="J1132" s="119" t="s">
        <v>600</v>
      </c>
      <c r="K1132" s="119" t="s">
        <v>1059</v>
      </c>
      <c r="L1132" s="119" t="s">
        <v>587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6"/>
        <v>0</v>
      </c>
      <c r="U1132" s="137">
        <f t="shared" si="260"/>
        <v>0</v>
      </c>
      <c r="V1132" s="137">
        <v>0</v>
      </c>
      <c r="W1132" s="137">
        <f t="shared" si="261"/>
        <v>0</v>
      </c>
      <c r="X1132" s="137">
        <f t="shared" si="257"/>
        <v>0</v>
      </c>
      <c r="Y1132" s="137">
        <f t="shared" si="262"/>
        <v>0</v>
      </c>
      <c r="Z1132" s="137">
        <v>36736.800000000003</v>
      </c>
      <c r="AA1132" s="137">
        <f t="shared" si="258"/>
        <v>-36736.800000000003</v>
      </c>
      <c r="AB1132" s="146">
        <f t="shared" si="268"/>
        <v>36016.470588235294</v>
      </c>
      <c r="AC1132" s="147">
        <f t="shared" si="259"/>
        <v>720.32941176470922</v>
      </c>
      <c r="AD1132" s="137">
        <v>36736.800000000003</v>
      </c>
      <c r="AE1132" s="138">
        <v>0.04</v>
      </c>
      <c r="AF1132" s="137">
        <f t="shared" si="267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hidden="1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600</v>
      </c>
      <c r="K1133" s="119" t="s">
        <v>1059</v>
      </c>
      <c r="L1133" s="119" t="s">
        <v>1063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6"/>
        <v>0</v>
      </c>
      <c r="U1133" s="137">
        <f t="shared" si="260"/>
        <v>0</v>
      </c>
      <c r="V1133" s="137">
        <v>0</v>
      </c>
      <c r="W1133" s="137">
        <f t="shared" si="261"/>
        <v>0</v>
      </c>
      <c r="X1133" s="137">
        <f t="shared" si="257"/>
        <v>0</v>
      </c>
      <c r="Y1133" s="137">
        <f t="shared" si="262"/>
        <v>0</v>
      </c>
      <c r="Z1133" s="137">
        <v>59680.2</v>
      </c>
      <c r="AA1133" s="137">
        <f t="shared" si="258"/>
        <v>-59680.2</v>
      </c>
      <c r="AB1133" s="146">
        <f t="shared" si="268"/>
        <v>58509.999999999993</v>
      </c>
      <c r="AC1133" s="147">
        <f t="shared" si="259"/>
        <v>1170.2000000000044</v>
      </c>
      <c r="AD1133" s="137">
        <v>59680.2</v>
      </c>
      <c r="AE1133" s="138">
        <v>0.04</v>
      </c>
      <c r="AF1133" s="137">
        <f t="shared" si="267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hidden="1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1052</v>
      </c>
      <c r="G1134" s="131" t="s">
        <v>1053</v>
      </c>
      <c r="H1134" s="131" t="s">
        <v>1053</v>
      </c>
      <c r="I1134" s="119" t="s">
        <v>168</v>
      </c>
      <c r="J1134" s="119" t="s">
        <v>600</v>
      </c>
      <c r="K1134" s="119" t="s">
        <v>1059</v>
      </c>
      <c r="L1134" s="119" t="s">
        <v>1052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6"/>
        <v>0</v>
      </c>
      <c r="U1134" s="137">
        <f t="shared" si="260"/>
        <v>0</v>
      </c>
      <c r="V1134" s="137">
        <v>0</v>
      </c>
      <c r="W1134" s="137">
        <f t="shared" si="261"/>
        <v>0</v>
      </c>
      <c r="X1134" s="137">
        <f t="shared" si="257"/>
        <v>0</v>
      </c>
      <c r="Y1134" s="137">
        <f t="shared" si="262"/>
        <v>0</v>
      </c>
      <c r="Z1134" s="137">
        <v>27103.3</v>
      </c>
      <c r="AA1134" s="137">
        <f t="shared" si="258"/>
        <v>-27103.3</v>
      </c>
      <c r="AB1134" s="146">
        <f t="shared" si="268"/>
        <v>26571.862745098038</v>
      </c>
      <c r="AC1134" s="147">
        <f t="shared" si="259"/>
        <v>531.43725490196084</v>
      </c>
      <c r="AD1134" s="137">
        <v>27103.3</v>
      </c>
      <c r="AE1134" s="138">
        <v>0.04</v>
      </c>
      <c r="AF1134" s="137">
        <f t="shared" si="267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hidden="1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1045</v>
      </c>
      <c r="G1135" s="131" t="s">
        <v>1046</v>
      </c>
      <c r="H1135" s="131" t="s">
        <v>1046</v>
      </c>
      <c r="I1135" s="119" t="s">
        <v>168</v>
      </c>
      <c r="J1135" s="119" t="s">
        <v>600</v>
      </c>
      <c r="K1135" s="119" t="s">
        <v>1059</v>
      </c>
      <c r="L1135" s="119" t="s">
        <v>1045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6"/>
        <v>0</v>
      </c>
      <c r="U1135" s="137">
        <f t="shared" si="260"/>
        <v>0</v>
      </c>
      <c r="V1135" s="137">
        <v>0</v>
      </c>
      <c r="W1135" s="137">
        <f t="shared" si="261"/>
        <v>0</v>
      </c>
      <c r="X1135" s="137">
        <f t="shared" si="257"/>
        <v>0</v>
      </c>
      <c r="Y1135" s="137">
        <f t="shared" si="262"/>
        <v>0</v>
      </c>
      <c r="Z1135" s="137">
        <v>9268.7999999999993</v>
      </c>
      <c r="AA1135" s="137">
        <f t="shared" si="258"/>
        <v>-9268.7999999999993</v>
      </c>
      <c r="AB1135" s="146">
        <f t="shared" si="268"/>
        <v>9087.0588235294108</v>
      </c>
      <c r="AC1135" s="147">
        <f t="shared" si="259"/>
        <v>181.74117647058847</v>
      </c>
      <c r="AD1135" s="137">
        <v>9268.7999999999993</v>
      </c>
      <c r="AE1135" s="138">
        <v>0.04</v>
      </c>
      <c r="AF1135" s="137">
        <f t="shared" si="267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hidden="1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851</v>
      </c>
      <c r="G1136" s="131" t="s">
        <v>851</v>
      </c>
      <c r="H1136" s="131" t="s">
        <v>851</v>
      </c>
      <c r="I1136" s="119" t="s">
        <v>168</v>
      </c>
      <c r="J1136" s="119" t="s">
        <v>600</v>
      </c>
      <c r="K1136" s="119" t="s">
        <v>1059</v>
      </c>
      <c r="L1136" s="119" t="s">
        <v>851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6"/>
        <v>0</v>
      </c>
      <c r="U1136" s="137">
        <f t="shared" si="260"/>
        <v>0</v>
      </c>
      <c r="V1136" s="137">
        <v>0</v>
      </c>
      <c r="W1136" s="137">
        <f t="shared" si="261"/>
        <v>0</v>
      </c>
      <c r="X1136" s="137">
        <f t="shared" si="257"/>
        <v>0</v>
      </c>
      <c r="Y1136" s="137">
        <f t="shared" si="262"/>
        <v>0</v>
      </c>
      <c r="Z1136" s="137">
        <v>454946.9</v>
      </c>
      <c r="AA1136" s="137">
        <f t="shared" si="258"/>
        <v>-454946.9</v>
      </c>
      <c r="AB1136" s="146">
        <f t="shared" si="268"/>
        <v>437448.94230769231</v>
      </c>
      <c r="AC1136" s="147">
        <f t="shared" si="259"/>
        <v>17497.957692307711</v>
      </c>
      <c r="AD1136" s="137">
        <v>454946.9</v>
      </c>
      <c r="AE1136" s="138">
        <v>0.04</v>
      </c>
      <c r="AF1136" s="137">
        <f t="shared" si="267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hidden="1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954</v>
      </c>
      <c r="G1137" s="131" t="s">
        <v>953</v>
      </c>
      <c r="H1137" s="131" t="s">
        <v>953</v>
      </c>
      <c r="I1137" s="119" t="s">
        <v>168</v>
      </c>
      <c r="J1137" s="119" t="s">
        <v>600</v>
      </c>
      <c r="K1137" s="119" t="s">
        <v>1059</v>
      </c>
      <c r="L1137" s="119" t="s">
        <v>954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6"/>
        <v>0</v>
      </c>
      <c r="U1137" s="137">
        <f t="shared" si="260"/>
        <v>0</v>
      </c>
      <c r="V1137" s="137">
        <v>0</v>
      </c>
      <c r="W1137" s="137">
        <f t="shared" si="261"/>
        <v>0</v>
      </c>
      <c r="X1137" s="137">
        <f t="shared" si="257"/>
        <v>0</v>
      </c>
      <c r="Y1137" s="137">
        <f t="shared" si="262"/>
        <v>0</v>
      </c>
      <c r="Z1137" s="137">
        <v>15624</v>
      </c>
      <c r="AA1137" s="137">
        <f t="shared" si="258"/>
        <v>-15624</v>
      </c>
      <c r="AB1137" s="146">
        <f t="shared" si="268"/>
        <v>15317.64705882353</v>
      </c>
      <c r="AC1137" s="147">
        <f t="shared" si="259"/>
        <v>306.35294117647027</v>
      </c>
      <c r="AD1137" s="137">
        <v>15624</v>
      </c>
      <c r="AE1137" s="138">
        <v>0.04</v>
      </c>
      <c r="AF1137" s="137">
        <f t="shared" si="267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hidden="1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587</v>
      </c>
      <c r="G1138" s="131" t="s">
        <v>588</v>
      </c>
      <c r="H1138" s="131" t="s">
        <v>588</v>
      </c>
      <c r="I1138" s="119" t="s">
        <v>168</v>
      </c>
      <c r="J1138" s="119" t="s">
        <v>600</v>
      </c>
      <c r="K1138" s="119" t="s">
        <v>1060</v>
      </c>
      <c r="L1138" s="119" t="s">
        <v>587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6"/>
        <v>0</v>
      </c>
      <c r="U1138" s="137">
        <f t="shared" si="260"/>
        <v>0</v>
      </c>
      <c r="V1138" s="137">
        <v>0</v>
      </c>
      <c r="W1138" s="137">
        <f t="shared" si="261"/>
        <v>0</v>
      </c>
      <c r="X1138" s="137">
        <f t="shared" si="257"/>
        <v>0</v>
      </c>
      <c r="Y1138" s="137">
        <f t="shared" si="262"/>
        <v>0</v>
      </c>
      <c r="Z1138" s="137">
        <v>64931.3</v>
      </c>
      <c r="AA1138" s="137">
        <f t="shared" si="258"/>
        <v>-64931.3</v>
      </c>
      <c r="AB1138" s="146">
        <f t="shared" si="268"/>
        <v>63658.137254901965</v>
      </c>
      <c r="AC1138" s="147">
        <f t="shared" si="259"/>
        <v>1273.1627450980377</v>
      </c>
      <c r="AD1138" s="137">
        <v>64931.3</v>
      </c>
      <c r="AE1138" s="138">
        <v>0.06</v>
      </c>
      <c r="AF1138" s="137">
        <f t="shared" si="267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hidden="1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1040</v>
      </c>
      <c r="G1139" s="131" t="s">
        <v>1041</v>
      </c>
      <c r="H1139" s="119" t="s">
        <v>1042</v>
      </c>
      <c r="I1139" s="119" t="s">
        <v>168</v>
      </c>
      <c r="J1139" s="119" t="s">
        <v>600</v>
      </c>
      <c r="K1139" s="119" t="s">
        <v>1060</v>
      </c>
      <c r="L1139" s="119" t="s">
        <v>1040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6"/>
        <v>0</v>
      </c>
      <c r="U1139" s="137">
        <f t="shared" si="260"/>
        <v>0</v>
      </c>
      <c r="V1139" s="137">
        <v>0</v>
      </c>
      <c r="W1139" s="137">
        <f t="shared" si="261"/>
        <v>0</v>
      </c>
      <c r="X1139" s="137">
        <f t="shared" si="257"/>
        <v>0</v>
      </c>
      <c r="Y1139" s="137">
        <f t="shared" si="262"/>
        <v>0</v>
      </c>
      <c r="Z1139" s="137">
        <v>30485.200000000001</v>
      </c>
      <c r="AA1139" s="137">
        <f t="shared" si="258"/>
        <v>-30485.200000000001</v>
      </c>
      <c r="AB1139" s="146">
        <f t="shared" si="268"/>
        <v>29312.692307692309</v>
      </c>
      <c r="AC1139" s="147">
        <f t="shared" si="259"/>
        <v>1172.5076923076922</v>
      </c>
      <c r="AD1139" s="137">
        <v>30485.200000000001</v>
      </c>
      <c r="AE1139" s="138">
        <v>0.06</v>
      </c>
      <c r="AF1139" s="137">
        <f t="shared" si="267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hidden="1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1045</v>
      </c>
      <c r="G1140" s="131" t="s">
        <v>1046</v>
      </c>
      <c r="H1140" s="131" t="s">
        <v>1046</v>
      </c>
      <c r="I1140" s="119" t="s">
        <v>168</v>
      </c>
      <c r="J1140" s="119" t="s">
        <v>600</v>
      </c>
      <c r="K1140" s="119" t="s">
        <v>1060</v>
      </c>
      <c r="L1140" s="119" t="s">
        <v>1045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6"/>
        <v>0</v>
      </c>
      <c r="U1140" s="137">
        <f t="shared" si="260"/>
        <v>0</v>
      </c>
      <c r="V1140" s="137">
        <v>0</v>
      </c>
      <c r="W1140" s="137">
        <f t="shared" si="261"/>
        <v>0</v>
      </c>
      <c r="X1140" s="137">
        <f t="shared" si="257"/>
        <v>0</v>
      </c>
      <c r="Y1140" s="137">
        <f t="shared" si="262"/>
        <v>0</v>
      </c>
      <c r="Z1140" s="137">
        <v>12993.9</v>
      </c>
      <c r="AA1140" s="137">
        <f t="shared" si="258"/>
        <v>-12993.9</v>
      </c>
      <c r="AB1140" s="146">
        <f t="shared" si="268"/>
        <v>12739.117647058823</v>
      </c>
      <c r="AC1140" s="147">
        <f t="shared" si="259"/>
        <v>254.78235294117621</v>
      </c>
      <c r="AD1140" s="137">
        <v>12993.9</v>
      </c>
      <c r="AE1140" s="138">
        <v>0.06</v>
      </c>
      <c r="AF1140" s="137">
        <f t="shared" si="267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hidden="1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954</v>
      </c>
      <c r="G1141" s="131" t="s">
        <v>953</v>
      </c>
      <c r="H1141" s="131" t="s">
        <v>953</v>
      </c>
      <c r="I1141" s="119" t="s">
        <v>168</v>
      </c>
      <c r="J1141" s="119" t="s">
        <v>600</v>
      </c>
      <c r="K1141" s="119" t="s">
        <v>1060</v>
      </c>
      <c r="L1141" s="119" t="s">
        <v>954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6"/>
        <v>0</v>
      </c>
      <c r="U1141" s="137">
        <f t="shared" si="260"/>
        <v>0</v>
      </c>
      <c r="V1141" s="137">
        <v>0</v>
      </c>
      <c r="W1141" s="137">
        <f t="shared" si="261"/>
        <v>0</v>
      </c>
      <c r="X1141" s="137">
        <f t="shared" si="257"/>
        <v>0</v>
      </c>
      <c r="Y1141" s="137">
        <f t="shared" si="262"/>
        <v>0</v>
      </c>
      <c r="Z1141" s="137">
        <v>23071.5</v>
      </c>
      <c r="AA1141" s="137">
        <f t="shared" si="258"/>
        <v>-23071.5</v>
      </c>
      <c r="AB1141" s="146">
        <f t="shared" si="268"/>
        <v>22619.117647058822</v>
      </c>
      <c r="AC1141" s="147">
        <f t="shared" si="259"/>
        <v>452.3823529411784</v>
      </c>
      <c r="AD1141" s="137">
        <v>23071.5</v>
      </c>
      <c r="AE1141" s="138">
        <v>0.06</v>
      </c>
      <c r="AF1141" s="137">
        <f t="shared" si="267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hidden="1" customHeight="1" x14ac:dyDescent="0.3">
      <c r="A1142" s="119">
        <v>2017</v>
      </c>
      <c r="B1142" s="119" t="s">
        <v>37</v>
      </c>
      <c r="C1142" s="119" t="s">
        <v>38</v>
      </c>
      <c r="D1142" s="119" t="s">
        <v>830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600</v>
      </c>
      <c r="K1142" s="119" t="s">
        <v>1060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6"/>
        <v>0</v>
      </c>
      <c r="U1142" s="137">
        <f t="shared" si="260"/>
        <v>0</v>
      </c>
      <c r="V1142" s="137">
        <v>0</v>
      </c>
      <c r="W1142" s="137">
        <f t="shared" si="261"/>
        <v>0</v>
      </c>
      <c r="X1142" s="137">
        <f t="shared" si="257"/>
        <v>0</v>
      </c>
      <c r="Y1142" s="137">
        <f t="shared" si="262"/>
        <v>0</v>
      </c>
      <c r="Z1142" s="137">
        <v>4525.74</v>
      </c>
      <c r="AA1142" s="137">
        <f t="shared" si="258"/>
        <v>-4525.74</v>
      </c>
      <c r="AB1142" s="146">
        <f t="shared" si="268"/>
        <v>4525.74</v>
      </c>
      <c r="AC1142" s="147">
        <f t="shared" si="259"/>
        <v>0</v>
      </c>
      <c r="AD1142" s="137">
        <v>4525.74</v>
      </c>
      <c r="AE1142" s="138">
        <v>0.1</v>
      </c>
      <c r="AF1142" s="137">
        <f t="shared" si="267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hidden="1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904</v>
      </c>
      <c r="G1143" s="131" t="s">
        <v>905</v>
      </c>
      <c r="H1143" s="131" t="s">
        <v>905</v>
      </c>
      <c r="I1143" s="119" t="s">
        <v>168</v>
      </c>
      <c r="J1143" s="119" t="s">
        <v>600</v>
      </c>
      <c r="K1143" s="119" t="s">
        <v>879</v>
      </c>
      <c r="L1143" s="119" t="s">
        <v>957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6"/>
        <v>0</v>
      </c>
      <c r="U1143" s="137">
        <f t="shared" si="260"/>
        <v>0</v>
      </c>
      <c r="V1143" s="131"/>
      <c r="W1143" s="137">
        <f t="shared" si="261"/>
        <v>0</v>
      </c>
      <c r="X1143" s="137">
        <f t="shared" si="257"/>
        <v>0</v>
      </c>
      <c r="Y1143" s="137">
        <f t="shared" si="262"/>
        <v>0</v>
      </c>
      <c r="Z1143" s="137">
        <v>8754.2999999999993</v>
      </c>
      <c r="AA1143" s="137">
        <f t="shared" si="258"/>
        <v>-8754.2999999999993</v>
      </c>
      <c r="AB1143" s="146">
        <f t="shared" si="268"/>
        <v>8337.4285714285706</v>
      </c>
      <c r="AC1143" s="147">
        <f t="shared" si="259"/>
        <v>416.87142857142862</v>
      </c>
      <c r="AD1143" s="137">
        <v>8754.2999999999993</v>
      </c>
      <c r="AE1143" s="138">
        <v>0.1</v>
      </c>
      <c r="AF1143" s="137">
        <f t="shared" si="267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hidden="1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940</v>
      </c>
      <c r="G1144" s="131" t="s">
        <v>940</v>
      </c>
      <c r="H1144" s="131" t="s">
        <v>940</v>
      </c>
      <c r="I1144" s="119" t="s">
        <v>168</v>
      </c>
      <c r="J1144" s="119" t="s">
        <v>600</v>
      </c>
      <c r="K1144" s="119" t="s">
        <v>879</v>
      </c>
      <c r="L1144" s="119" t="s">
        <v>1036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6"/>
        <v>0</v>
      </c>
      <c r="U1144" s="137">
        <f t="shared" si="260"/>
        <v>0</v>
      </c>
      <c r="V1144" s="131"/>
      <c r="W1144" s="137">
        <f t="shared" si="261"/>
        <v>0</v>
      </c>
      <c r="X1144" s="137">
        <f t="shared" si="257"/>
        <v>0</v>
      </c>
      <c r="Y1144" s="137">
        <f t="shared" si="262"/>
        <v>0</v>
      </c>
      <c r="Z1144" s="137">
        <v>49999.5</v>
      </c>
      <c r="AA1144" s="137">
        <f t="shared" si="258"/>
        <v>-49999.5</v>
      </c>
      <c r="AB1144" s="146">
        <f t="shared" si="268"/>
        <v>49019.117647058825</v>
      </c>
      <c r="AC1144" s="147">
        <f t="shared" si="259"/>
        <v>980.38235294117476</v>
      </c>
      <c r="AD1144" s="137">
        <v>49999.5</v>
      </c>
      <c r="AE1144" s="138">
        <v>0.1</v>
      </c>
      <c r="AF1144" s="137">
        <f t="shared" si="267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hidden="1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940</v>
      </c>
      <c r="G1145" s="131" t="s">
        <v>940</v>
      </c>
      <c r="H1145" s="131" t="s">
        <v>940</v>
      </c>
      <c r="I1145" s="119" t="s">
        <v>168</v>
      </c>
      <c r="J1145" s="119" t="s">
        <v>600</v>
      </c>
      <c r="K1145" s="119" t="s">
        <v>879</v>
      </c>
      <c r="L1145" s="119" t="s">
        <v>1035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6"/>
        <v>0</v>
      </c>
      <c r="U1145" s="137">
        <f t="shared" si="260"/>
        <v>0</v>
      </c>
      <c r="V1145" s="131"/>
      <c r="W1145" s="137">
        <f t="shared" si="261"/>
        <v>0</v>
      </c>
      <c r="X1145" s="137">
        <f t="shared" si="257"/>
        <v>0</v>
      </c>
      <c r="Y1145" s="137">
        <f t="shared" si="262"/>
        <v>0</v>
      </c>
      <c r="Z1145" s="137">
        <v>49993.1</v>
      </c>
      <c r="AA1145" s="137">
        <f t="shared" si="258"/>
        <v>-49993.1</v>
      </c>
      <c r="AB1145" s="146">
        <f t="shared" si="268"/>
        <v>49012.843137254902</v>
      </c>
      <c r="AC1145" s="147">
        <f t="shared" si="259"/>
        <v>980.25686274509644</v>
      </c>
      <c r="AD1145" s="137">
        <v>49993.1</v>
      </c>
      <c r="AE1145" s="138">
        <v>0.1</v>
      </c>
      <c r="AF1145" s="137">
        <f t="shared" si="267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hidden="1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1032</v>
      </c>
      <c r="G1146" s="131" t="s">
        <v>1032</v>
      </c>
      <c r="H1146" s="131" t="s">
        <v>1032</v>
      </c>
      <c r="I1146" s="119" t="s">
        <v>168</v>
      </c>
      <c r="J1146" s="119" t="s">
        <v>600</v>
      </c>
      <c r="K1146" s="119" t="s">
        <v>879</v>
      </c>
      <c r="L1146" s="119" t="s">
        <v>1032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6"/>
        <v>0</v>
      </c>
      <c r="U1146" s="137">
        <f t="shared" si="260"/>
        <v>0</v>
      </c>
      <c r="V1146" s="131"/>
      <c r="W1146" s="137">
        <f t="shared" si="261"/>
        <v>0</v>
      </c>
      <c r="X1146" s="137">
        <f t="shared" si="257"/>
        <v>0</v>
      </c>
      <c r="Y1146" s="137">
        <f t="shared" si="262"/>
        <v>0</v>
      </c>
      <c r="Z1146" s="137">
        <v>48606.5</v>
      </c>
      <c r="AA1146" s="137">
        <f t="shared" si="258"/>
        <v>-48606.5</v>
      </c>
      <c r="AB1146" s="146">
        <f t="shared" si="268"/>
        <v>47653.431372549021</v>
      </c>
      <c r="AC1146" s="147">
        <f t="shared" si="259"/>
        <v>953.06862745097897</v>
      </c>
      <c r="AD1146" s="137">
        <v>48606.5</v>
      </c>
      <c r="AE1146" s="138">
        <v>0.1</v>
      </c>
      <c r="AF1146" s="137">
        <f t="shared" si="267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hidden="1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901</v>
      </c>
      <c r="G1147" s="131" t="s">
        <v>901</v>
      </c>
      <c r="H1147" s="131" t="s">
        <v>901</v>
      </c>
      <c r="I1147" s="119" t="s">
        <v>168</v>
      </c>
      <c r="J1147" s="119" t="s">
        <v>600</v>
      </c>
      <c r="K1147" s="119" t="s">
        <v>879</v>
      </c>
      <c r="L1147" s="119" t="s">
        <v>901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6"/>
        <v>0</v>
      </c>
      <c r="U1147" s="137">
        <f t="shared" si="260"/>
        <v>0</v>
      </c>
      <c r="V1147" s="131"/>
      <c r="W1147" s="137">
        <f t="shared" si="261"/>
        <v>0</v>
      </c>
      <c r="X1147" s="137">
        <f t="shared" si="257"/>
        <v>0</v>
      </c>
      <c r="Y1147" s="137">
        <f t="shared" si="262"/>
        <v>0</v>
      </c>
      <c r="Z1147" s="137">
        <v>10760.8</v>
      </c>
      <c r="AA1147" s="137">
        <f t="shared" si="258"/>
        <v>-10760.8</v>
      </c>
      <c r="AB1147" s="146">
        <f t="shared" si="268"/>
        <v>10549.803921568626</v>
      </c>
      <c r="AC1147" s="147">
        <f t="shared" si="259"/>
        <v>210.99607843137346</v>
      </c>
      <c r="AD1147" s="137">
        <v>10760.8</v>
      </c>
      <c r="AE1147" s="138">
        <v>0.1</v>
      </c>
      <c r="AF1147" s="137">
        <f t="shared" si="267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hidden="1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881</v>
      </c>
      <c r="G1148" s="131" t="s">
        <v>881</v>
      </c>
      <c r="H1148" s="131" t="s">
        <v>881</v>
      </c>
      <c r="I1148" s="119" t="s">
        <v>168</v>
      </c>
      <c r="J1148" s="119" t="s">
        <v>600</v>
      </c>
      <c r="K1148" s="119" t="s">
        <v>879</v>
      </c>
      <c r="L1148" s="119" t="s">
        <v>881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6"/>
        <v>0</v>
      </c>
      <c r="U1148" s="137">
        <f t="shared" si="260"/>
        <v>0</v>
      </c>
      <c r="V1148" s="131"/>
      <c r="W1148" s="137">
        <f t="shared" si="261"/>
        <v>0</v>
      </c>
      <c r="X1148" s="137">
        <f t="shared" si="257"/>
        <v>0</v>
      </c>
      <c r="Y1148" s="137">
        <f t="shared" si="262"/>
        <v>0</v>
      </c>
      <c r="Z1148" s="137">
        <v>105901.8</v>
      </c>
      <c r="AA1148" s="137">
        <f t="shared" si="258"/>
        <v>-105901.8</v>
      </c>
      <c r="AB1148" s="146">
        <f t="shared" si="268"/>
        <v>103825.29411764706</v>
      </c>
      <c r="AC1148" s="147">
        <f t="shared" si="259"/>
        <v>2076.5058823529398</v>
      </c>
      <c r="AD1148" s="137">
        <v>105901.8</v>
      </c>
      <c r="AE1148" s="138">
        <v>0.1</v>
      </c>
      <c r="AF1148" s="137">
        <f t="shared" si="267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hidden="1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882</v>
      </c>
      <c r="G1149" s="131" t="s">
        <v>882</v>
      </c>
      <c r="H1149" s="131" t="s">
        <v>882</v>
      </c>
      <c r="I1149" s="119" t="s">
        <v>168</v>
      </c>
      <c r="J1149" s="119" t="s">
        <v>600</v>
      </c>
      <c r="K1149" s="119" t="s">
        <v>879</v>
      </c>
      <c r="L1149" s="119" t="s">
        <v>882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6"/>
        <v>0</v>
      </c>
      <c r="U1149" s="137">
        <f t="shared" si="260"/>
        <v>0</v>
      </c>
      <c r="V1149" s="131"/>
      <c r="W1149" s="137">
        <f t="shared" si="261"/>
        <v>0</v>
      </c>
      <c r="X1149" s="137">
        <f t="shared" si="257"/>
        <v>0</v>
      </c>
      <c r="Y1149" s="137">
        <f t="shared" si="262"/>
        <v>0</v>
      </c>
      <c r="Z1149" s="137">
        <v>10333.6</v>
      </c>
      <c r="AA1149" s="137">
        <f t="shared" si="258"/>
        <v>-10333.6</v>
      </c>
      <c r="AB1149" s="146">
        <f t="shared" si="268"/>
        <v>10130.980392156864</v>
      </c>
      <c r="AC1149" s="147">
        <f t="shared" si="259"/>
        <v>202.61960784313669</v>
      </c>
      <c r="AD1149" s="137">
        <v>10333.6</v>
      </c>
      <c r="AE1149" s="138">
        <v>0.1</v>
      </c>
      <c r="AF1149" s="137">
        <f t="shared" si="267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hidden="1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940</v>
      </c>
      <c r="G1150" s="131" t="s">
        <v>940</v>
      </c>
      <c r="H1150" s="131" t="s">
        <v>940</v>
      </c>
      <c r="I1150" s="119" t="s">
        <v>168</v>
      </c>
      <c r="J1150" s="119" t="s">
        <v>600</v>
      </c>
      <c r="K1150" s="119" t="s">
        <v>879</v>
      </c>
      <c r="L1150" s="119" t="s">
        <v>940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6"/>
        <v>0</v>
      </c>
      <c r="U1150" s="137">
        <f t="shared" si="260"/>
        <v>0</v>
      </c>
      <c r="V1150" s="131"/>
      <c r="W1150" s="137">
        <f t="shared" si="261"/>
        <v>0</v>
      </c>
      <c r="X1150" s="137">
        <f t="shared" si="257"/>
        <v>0</v>
      </c>
      <c r="Y1150" s="137">
        <f t="shared" si="262"/>
        <v>0</v>
      </c>
      <c r="Z1150" s="137">
        <v>1664.4</v>
      </c>
      <c r="AA1150" s="137">
        <f t="shared" si="258"/>
        <v>-1664.4</v>
      </c>
      <c r="AB1150" s="146">
        <f t="shared" si="268"/>
        <v>1600.3846153846155</v>
      </c>
      <c r="AC1150" s="147">
        <f t="shared" si="259"/>
        <v>64.015384615384619</v>
      </c>
      <c r="AD1150" s="137">
        <v>1664.4</v>
      </c>
      <c r="AE1150" s="138">
        <v>0.1</v>
      </c>
      <c r="AF1150" s="137">
        <f t="shared" si="267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hidden="1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881</v>
      </c>
      <c r="G1151" s="131" t="s">
        <v>881</v>
      </c>
      <c r="H1151" s="131" t="s">
        <v>881</v>
      </c>
      <c r="I1151" s="119" t="s">
        <v>168</v>
      </c>
      <c r="J1151" s="119" t="s">
        <v>600</v>
      </c>
      <c r="K1151" s="119" t="s">
        <v>879</v>
      </c>
      <c r="L1151" s="119" t="s">
        <v>881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6"/>
        <v>0</v>
      </c>
      <c r="U1151" s="137">
        <f t="shared" si="260"/>
        <v>0</v>
      </c>
      <c r="V1151" s="131"/>
      <c r="W1151" s="137">
        <f t="shared" si="261"/>
        <v>0</v>
      </c>
      <c r="X1151" s="137">
        <f t="shared" si="257"/>
        <v>0</v>
      </c>
      <c r="Y1151" s="137">
        <f t="shared" si="262"/>
        <v>0</v>
      </c>
      <c r="Z1151" s="137">
        <v>23736</v>
      </c>
      <c r="AA1151" s="137">
        <f t="shared" si="258"/>
        <v>-23736</v>
      </c>
      <c r="AB1151" s="146">
        <f t="shared" si="268"/>
        <v>22823.076923076922</v>
      </c>
      <c r="AC1151" s="147">
        <f t="shared" si="259"/>
        <v>912.92307692307804</v>
      </c>
      <c r="AD1151" s="137">
        <v>23736</v>
      </c>
      <c r="AE1151" s="138">
        <v>0.1</v>
      </c>
      <c r="AF1151" s="137">
        <f t="shared" si="267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hidden="1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590</v>
      </c>
      <c r="G1152" s="119" t="s">
        <v>590</v>
      </c>
      <c r="H1152" s="119" t="s">
        <v>590</v>
      </c>
      <c r="I1152" s="119" t="s">
        <v>1064</v>
      </c>
      <c r="J1152" s="119" t="s">
        <v>1065</v>
      </c>
      <c r="K1152" s="119" t="s">
        <v>1066</v>
      </c>
      <c r="L1152" s="119" t="s">
        <v>590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6"/>
        <v>0</v>
      </c>
      <c r="U1152" s="137">
        <f t="shared" si="260"/>
        <v>20000</v>
      </c>
      <c r="V1152" s="137">
        <v>20000</v>
      </c>
      <c r="W1152" s="137">
        <f t="shared" si="261"/>
        <v>0</v>
      </c>
      <c r="X1152" s="137">
        <f t="shared" si="257"/>
        <v>0</v>
      </c>
      <c r="Y1152" s="137">
        <f t="shared" si="262"/>
        <v>0</v>
      </c>
      <c r="Z1152" s="137">
        <v>20000</v>
      </c>
      <c r="AA1152" s="137">
        <f t="shared" si="258"/>
        <v>0</v>
      </c>
      <c r="AB1152" s="146">
        <f t="shared" si="268"/>
        <v>20000</v>
      </c>
      <c r="AC1152" s="147">
        <f t="shared" si="259"/>
        <v>0</v>
      </c>
      <c r="AD1152" s="137">
        <v>20000</v>
      </c>
      <c r="AE1152" s="135">
        <v>0</v>
      </c>
      <c r="AF1152" s="137">
        <f t="shared" si="267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hidden="1" customHeight="1" x14ac:dyDescent="0.3">
      <c r="A1153" s="119">
        <v>2017</v>
      </c>
      <c r="B1153" s="119" t="s">
        <v>37</v>
      </c>
      <c r="C1153" s="119" t="s">
        <v>53</v>
      </c>
      <c r="F1153" s="119" t="s">
        <v>1067</v>
      </c>
      <c r="G1153" s="119" t="s">
        <v>1067</v>
      </c>
      <c r="H1153" s="119" t="s">
        <v>1067</v>
      </c>
      <c r="I1153" s="119" t="s">
        <v>1068</v>
      </c>
      <c r="J1153" s="119" t="s">
        <v>330</v>
      </c>
      <c r="K1153" s="119" t="s">
        <v>330</v>
      </c>
      <c r="L1153" s="119" t="s">
        <v>1067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6"/>
        <v>0</v>
      </c>
      <c r="U1153" s="137">
        <f t="shared" si="260"/>
        <v>0</v>
      </c>
      <c r="V1153" s="137">
        <v>100000</v>
      </c>
      <c r="W1153" s="137">
        <f t="shared" si="261"/>
        <v>-100000</v>
      </c>
      <c r="X1153" s="137">
        <f t="shared" si="257"/>
        <v>-100000</v>
      </c>
      <c r="Y1153" s="137">
        <f t="shared" si="262"/>
        <v>0</v>
      </c>
      <c r="Z1153" s="137">
        <v>100000</v>
      </c>
      <c r="AA1153" s="137">
        <f t="shared" si="258"/>
        <v>0</v>
      </c>
      <c r="AB1153" s="146">
        <f t="shared" si="268"/>
        <v>100000</v>
      </c>
      <c r="AC1153" s="147">
        <f t="shared" si="259"/>
        <v>0</v>
      </c>
      <c r="AD1153" s="137">
        <v>100000</v>
      </c>
      <c r="AE1153" s="135">
        <v>0</v>
      </c>
      <c r="AF1153" s="137">
        <f t="shared" si="267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hidden="1" customHeight="1" x14ac:dyDescent="0.3">
      <c r="A1154" s="119">
        <v>2017</v>
      </c>
      <c r="B1154" s="119" t="s">
        <v>37</v>
      </c>
      <c r="C1154" s="119" t="s">
        <v>108</v>
      </c>
      <c r="F1154" s="119" t="s">
        <v>1069</v>
      </c>
      <c r="G1154" s="119" t="s">
        <v>1069</v>
      </c>
      <c r="H1154" s="119" t="s">
        <v>1069</v>
      </c>
      <c r="I1154" s="119" t="s">
        <v>202</v>
      </c>
      <c r="J1154" s="119" t="s">
        <v>1070</v>
      </c>
      <c r="K1154" s="119" t="s">
        <v>1070</v>
      </c>
      <c r="L1154" s="119" t="s">
        <v>1069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9">S1154*N1154</f>
        <v>0</v>
      </c>
      <c r="U1154" s="137">
        <f t="shared" si="260"/>
        <v>0</v>
      </c>
      <c r="V1154" s="137">
        <v>51000</v>
      </c>
      <c r="W1154" s="137">
        <f t="shared" si="261"/>
        <v>-51000</v>
      </c>
      <c r="X1154" s="137">
        <f t="shared" ref="X1154:X1173" si="270">W1154/(1+N1154)</f>
        <v>-50000</v>
      </c>
      <c r="Y1154" s="137">
        <f t="shared" si="262"/>
        <v>-1000</v>
      </c>
      <c r="Z1154" s="137">
        <v>6665.7</v>
      </c>
      <c r="AA1154" s="137">
        <f t="shared" ref="AA1154:AA1173" si="271">Q1154+V1154-Z1154</f>
        <v>44334.3</v>
      </c>
      <c r="AB1154" s="146">
        <f t="shared" si="268"/>
        <v>6535</v>
      </c>
      <c r="AC1154" s="147">
        <f t="shared" ref="AC1154:AC1173" si="272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7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hidden="1" customHeight="1" x14ac:dyDescent="0.3">
      <c r="A1155" s="119">
        <v>2017</v>
      </c>
      <c r="B1155" s="119" t="s">
        <v>37</v>
      </c>
      <c r="C1155" s="119" t="s">
        <v>58</v>
      </c>
      <c r="F1155" s="119" t="s">
        <v>757</v>
      </c>
      <c r="G1155" s="119" t="s">
        <v>757</v>
      </c>
      <c r="H1155" s="119" t="s">
        <v>757</v>
      </c>
      <c r="I1155" s="119" t="s">
        <v>1071</v>
      </c>
      <c r="J1155" s="119" t="s">
        <v>715</v>
      </c>
      <c r="K1155" s="119" t="s">
        <v>715</v>
      </c>
      <c r="L1155" s="119" t="s">
        <v>757</v>
      </c>
      <c r="M1155" s="119" t="s">
        <v>158</v>
      </c>
      <c r="N1155" s="135">
        <v>0</v>
      </c>
      <c r="O1155" s="135" t="s">
        <v>46</v>
      </c>
      <c r="P1155" s="135" t="s">
        <v>758</v>
      </c>
      <c r="Q1155" s="137">
        <v>0</v>
      </c>
      <c r="R1155" s="137"/>
      <c r="S1155" s="137">
        <v>224000</v>
      </c>
      <c r="T1155" s="137">
        <f t="shared" si="269"/>
        <v>0</v>
      </c>
      <c r="U1155" s="137">
        <f t="shared" ref="U1155:U1173" si="273">R1155+S1155+T1155</f>
        <v>224000</v>
      </c>
      <c r="V1155" s="137">
        <v>84000</v>
      </c>
      <c r="W1155" s="137">
        <f t="shared" ref="W1155:W1173" si="274">U1155-V1155</f>
        <v>140000</v>
      </c>
      <c r="X1155" s="137">
        <f t="shared" si="270"/>
        <v>140000</v>
      </c>
      <c r="Y1155" s="137">
        <f t="shared" ref="Y1155:Y1173" si="275">W1155-X1155</f>
        <v>0</v>
      </c>
      <c r="Z1155" s="137">
        <v>84000</v>
      </c>
      <c r="AA1155" s="137">
        <f t="shared" si="271"/>
        <v>0</v>
      </c>
      <c r="AB1155" s="146">
        <f>S1155</f>
        <v>224000</v>
      </c>
      <c r="AC1155" s="147">
        <f t="shared" si="272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hidden="1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644</v>
      </c>
      <c r="F1156" s="171" t="s">
        <v>535</v>
      </c>
      <c r="G1156" s="171" t="s">
        <v>1072</v>
      </c>
      <c r="H1156" s="171" t="s">
        <v>1073</v>
      </c>
      <c r="I1156" s="171" t="s">
        <v>1074</v>
      </c>
      <c r="J1156" s="171" t="s">
        <v>1075</v>
      </c>
      <c r="K1156" s="171" t="s">
        <v>1075</v>
      </c>
      <c r="L1156" s="171" t="s">
        <v>536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9"/>
        <v>0</v>
      </c>
      <c r="U1156" s="137">
        <f t="shared" si="273"/>
        <v>200000</v>
      </c>
      <c r="V1156" s="179">
        <v>200000</v>
      </c>
      <c r="W1156" s="137">
        <f t="shared" si="274"/>
        <v>0</v>
      </c>
      <c r="X1156" s="137">
        <f t="shared" si="270"/>
        <v>0</v>
      </c>
      <c r="Y1156" s="137">
        <f t="shared" si="275"/>
        <v>0</v>
      </c>
      <c r="Z1156" s="179">
        <v>200000</v>
      </c>
      <c r="AA1156" s="137">
        <f t="shared" si="271"/>
        <v>0</v>
      </c>
      <c r="AB1156" s="146">
        <f t="shared" ref="AB1156:AB1168" si="276">IF(O1156="返货",Z1156/(1+N1156),IF(O1156="返现",Z1156,IF(O1156="折扣",Z1156*N1156,IF(O1156="无",Z1156))))</f>
        <v>200000</v>
      </c>
      <c r="AC1156" s="147">
        <f t="shared" si="272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1076</v>
      </c>
      <c r="K1157" s="171" t="s">
        <v>1076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9"/>
        <v>0</v>
      </c>
      <c r="U1157" s="137">
        <f t="shared" si="273"/>
        <v>5100000</v>
      </c>
      <c r="V1157" s="179">
        <v>5100000</v>
      </c>
      <c r="W1157" s="137">
        <f t="shared" si="274"/>
        <v>0</v>
      </c>
      <c r="X1157" s="137">
        <f t="shared" si="270"/>
        <v>0</v>
      </c>
      <c r="Y1157" s="137">
        <f t="shared" si="275"/>
        <v>0</v>
      </c>
      <c r="Z1157" s="179">
        <v>5100000</v>
      </c>
      <c r="AA1157" s="137">
        <f t="shared" si="271"/>
        <v>0</v>
      </c>
      <c r="AB1157" s="146">
        <f t="shared" si="276"/>
        <v>5100000</v>
      </c>
      <c r="AC1157" s="147">
        <f t="shared" si="272"/>
        <v>0</v>
      </c>
      <c r="AD1157" s="179">
        <v>3787500</v>
      </c>
      <c r="AE1157" s="180">
        <v>0</v>
      </c>
      <c r="AF1157" s="179">
        <f t="shared" ref="AF1157:AF1173" si="277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600</v>
      </c>
      <c r="K1158" s="171" t="s">
        <v>1077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9"/>
        <v>0</v>
      </c>
      <c r="U1158" s="137">
        <f t="shared" si="273"/>
        <v>2040000</v>
      </c>
      <c r="V1158" s="179">
        <v>3060000</v>
      </c>
      <c r="W1158" s="137">
        <f t="shared" si="274"/>
        <v>-1020000</v>
      </c>
      <c r="X1158" s="137">
        <f t="shared" si="270"/>
        <v>-1020000</v>
      </c>
      <c r="Y1158" s="137">
        <f t="shared" si="275"/>
        <v>0</v>
      </c>
      <c r="Z1158" s="179">
        <v>2040000</v>
      </c>
      <c r="AA1158" s="137">
        <f t="shared" si="271"/>
        <v>1020000</v>
      </c>
      <c r="AB1158" s="146">
        <f t="shared" si="276"/>
        <v>2040000</v>
      </c>
      <c r="AC1158" s="147">
        <f t="shared" si="272"/>
        <v>0</v>
      </c>
      <c r="AD1158" s="179">
        <v>1515000</v>
      </c>
      <c r="AE1158" s="180">
        <v>0</v>
      </c>
      <c r="AF1158" s="179">
        <f t="shared" si="277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1078</v>
      </c>
      <c r="J1159" s="171" t="s">
        <v>949</v>
      </c>
      <c r="K1159" s="171" t="s">
        <v>949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9"/>
        <v>0</v>
      </c>
      <c r="U1159" s="137">
        <f t="shared" si="273"/>
        <v>8778.2999999999993</v>
      </c>
      <c r="V1159" s="179">
        <v>8778.2999999999993</v>
      </c>
      <c r="W1159" s="137">
        <f t="shared" si="274"/>
        <v>0</v>
      </c>
      <c r="X1159" s="137">
        <f t="shared" si="270"/>
        <v>0</v>
      </c>
      <c r="Y1159" s="137">
        <f t="shared" si="275"/>
        <v>0</v>
      </c>
      <c r="Z1159" s="179">
        <v>7315.25</v>
      </c>
      <c r="AA1159" s="137">
        <f t="shared" si="271"/>
        <v>1463.0499999999993</v>
      </c>
      <c r="AB1159" s="146">
        <f>V1159</f>
        <v>8778.2999999999993</v>
      </c>
      <c r="AC1159" s="147">
        <f t="shared" si="272"/>
        <v>-1463.0499999999993</v>
      </c>
      <c r="AD1159" s="179">
        <v>7315.25</v>
      </c>
      <c r="AE1159" s="180">
        <v>0</v>
      </c>
      <c r="AF1159" s="179">
        <f t="shared" si="277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hidden="1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669</v>
      </c>
      <c r="G1160" s="119" t="s">
        <v>669</v>
      </c>
      <c r="H1160" s="119" t="s">
        <v>669</v>
      </c>
      <c r="I1160" s="163" t="s">
        <v>202</v>
      </c>
      <c r="J1160" s="119" t="s">
        <v>572</v>
      </c>
      <c r="K1160" s="119" t="s">
        <v>573</v>
      </c>
      <c r="L1160" s="119" t="s">
        <v>669</v>
      </c>
      <c r="M1160" s="119" t="s">
        <v>45</v>
      </c>
      <c r="N1160" s="136">
        <v>0.04</v>
      </c>
      <c r="O1160" s="135" t="s">
        <v>50</v>
      </c>
      <c r="P1160" s="135" t="s">
        <v>437</v>
      </c>
      <c r="Q1160" s="137">
        <v>0</v>
      </c>
      <c r="R1160" s="137">
        <v>0</v>
      </c>
      <c r="S1160" s="137"/>
      <c r="T1160" s="137">
        <f t="shared" si="269"/>
        <v>0</v>
      </c>
      <c r="U1160" s="137">
        <f t="shared" si="273"/>
        <v>0</v>
      </c>
      <c r="V1160" s="137"/>
      <c r="W1160" s="137">
        <f t="shared" si="274"/>
        <v>0</v>
      </c>
      <c r="X1160" s="137">
        <f t="shared" si="270"/>
        <v>0</v>
      </c>
      <c r="Y1160" s="137">
        <f t="shared" si="275"/>
        <v>0</v>
      </c>
      <c r="Z1160" s="137">
        <f>2069607-Z502</f>
        <v>437607</v>
      </c>
      <c r="AA1160" s="137">
        <f t="shared" si="271"/>
        <v>-437607</v>
      </c>
      <c r="AB1160" s="146">
        <f t="shared" si="276"/>
        <v>420775.9615384615</v>
      </c>
      <c r="AC1160" s="147">
        <f t="shared" si="272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7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hidden="1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572</v>
      </c>
      <c r="K1161" s="119" t="s">
        <v>573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437</v>
      </c>
      <c r="Q1161" s="137">
        <v>0</v>
      </c>
      <c r="R1161" s="137">
        <v>0</v>
      </c>
      <c r="S1161" s="137"/>
      <c r="T1161" s="137">
        <f t="shared" si="269"/>
        <v>0</v>
      </c>
      <c r="U1161" s="137">
        <f t="shared" si="273"/>
        <v>0</v>
      </c>
      <c r="V1161" s="137"/>
      <c r="W1161" s="137">
        <f t="shared" si="274"/>
        <v>0</v>
      </c>
      <c r="X1161" s="137">
        <f t="shared" si="270"/>
        <v>0</v>
      </c>
      <c r="Y1161" s="137">
        <f t="shared" si="275"/>
        <v>0</v>
      </c>
      <c r="Z1161" s="137">
        <v>1154992.98</v>
      </c>
      <c r="AA1161" s="137">
        <f t="shared" si="271"/>
        <v>-1154992.98</v>
      </c>
      <c r="AB1161" s="146">
        <f t="shared" si="276"/>
        <v>1132346.0588235294</v>
      </c>
      <c r="AC1161" s="147">
        <f t="shared" si="272"/>
        <v>22646.921176470583</v>
      </c>
      <c r="AD1161" s="137">
        <f>Z1161*0.980277351080772</f>
        <v>1132213.458951287</v>
      </c>
      <c r="AE1161" s="138">
        <v>0.1077</v>
      </c>
      <c r="AF1161" s="137">
        <f t="shared" si="277"/>
        <v>121939.38952905362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hidden="1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437</v>
      </c>
      <c r="Q1162" s="137">
        <v>0</v>
      </c>
      <c r="R1162" s="137">
        <v>0</v>
      </c>
      <c r="S1162" s="137"/>
      <c r="T1162" s="137">
        <f t="shared" si="269"/>
        <v>0</v>
      </c>
      <c r="U1162" s="137">
        <f t="shared" si="273"/>
        <v>0</v>
      </c>
      <c r="V1162" s="137"/>
      <c r="W1162" s="137">
        <f t="shared" si="274"/>
        <v>0</v>
      </c>
      <c r="X1162" s="137">
        <f t="shared" si="270"/>
        <v>0</v>
      </c>
      <c r="Y1162" s="137">
        <f t="shared" si="275"/>
        <v>0</v>
      </c>
      <c r="Z1162" s="137">
        <v>1819500</v>
      </c>
      <c r="AA1162" s="137">
        <f t="shared" si="271"/>
        <v>-1819500</v>
      </c>
      <c r="AB1162" s="146">
        <f t="shared" si="276"/>
        <v>1783823.5294117646</v>
      </c>
      <c r="AC1162" s="147">
        <f t="shared" si="272"/>
        <v>35676.470588235417</v>
      </c>
      <c r="AD1162" s="137">
        <f t="shared" ref="AD1162:AD1163" si="278">(Z1162-Q1162)*0.89807640489087</f>
        <v>1634050.018698938</v>
      </c>
      <c r="AE1162" s="138">
        <v>0.11269173273981201</v>
      </c>
      <c r="AF1162" s="137">
        <f t="shared" si="277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hidden="1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618</v>
      </c>
      <c r="G1163" s="119" t="s">
        <v>619</v>
      </c>
      <c r="H1163" s="119" t="s">
        <v>619</v>
      </c>
      <c r="I1163" s="119" t="s">
        <v>168</v>
      </c>
      <c r="J1163" s="119" t="s">
        <v>169</v>
      </c>
      <c r="K1163" s="119" t="s">
        <v>170</v>
      </c>
      <c r="L1163" s="119" t="s">
        <v>618</v>
      </c>
      <c r="M1163" s="119" t="s">
        <v>45</v>
      </c>
      <c r="N1163" s="135">
        <v>0.02</v>
      </c>
      <c r="O1163" s="135" t="s">
        <v>50</v>
      </c>
      <c r="P1163" s="135" t="s">
        <v>437</v>
      </c>
      <c r="Q1163" s="137">
        <v>0</v>
      </c>
      <c r="R1163" s="137">
        <v>0</v>
      </c>
      <c r="S1163" s="137"/>
      <c r="T1163" s="137">
        <f t="shared" si="269"/>
        <v>0</v>
      </c>
      <c r="U1163" s="137">
        <f t="shared" si="273"/>
        <v>0</v>
      </c>
      <c r="V1163" s="137"/>
      <c r="W1163" s="137">
        <f t="shared" si="274"/>
        <v>0</v>
      </c>
      <c r="X1163" s="137">
        <f t="shared" si="270"/>
        <v>0</v>
      </c>
      <c r="Y1163" s="137">
        <f t="shared" si="275"/>
        <v>0</v>
      </c>
      <c r="Z1163" s="137">
        <v>193800</v>
      </c>
      <c r="AA1163" s="137">
        <f t="shared" si="271"/>
        <v>-193800</v>
      </c>
      <c r="AB1163" s="146">
        <f t="shared" si="276"/>
        <v>190000</v>
      </c>
      <c r="AC1163" s="147">
        <f t="shared" si="272"/>
        <v>3800</v>
      </c>
      <c r="AD1163" s="137">
        <f t="shared" si="278"/>
        <v>174047.20726785061</v>
      </c>
      <c r="AE1163" s="138">
        <v>0.11269173273981201</v>
      </c>
      <c r="AF1163" s="137">
        <f t="shared" si="277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hidden="1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475</v>
      </c>
      <c r="G1164" s="119" t="s">
        <v>475</v>
      </c>
      <c r="H1164" s="119" t="s">
        <v>475</v>
      </c>
      <c r="I1164" s="119" t="s">
        <v>168</v>
      </c>
      <c r="J1164" s="119" t="s">
        <v>600</v>
      </c>
      <c r="K1164" s="119" t="s">
        <v>1060</v>
      </c>
      <c r="L1164" s="119" t="s">
        <v>980</v>
      </c>
      <c r="M1164" s="119" t="s">
        <v>45</v>
      </c>
      <c r="N1164" s="136">
        <v>0.02</v>
      </c>
      <c r="O1164" s="135" t="s">
        <v>50</v>
      </c>
      <c r="P1164" s="135" t="s">
        <v>437</v>
      </c>
      <c r="Q1164" s="137">
        <v>0</v>
      </c>
      <c r="R1164" s="137">
        <v>0</v>
      </c>
      <c r="S1164" s="137"/>
      <c r="T1164" s="137">
        <f t="shared" si="269"/>
        <v>0</v>
      </c>
      <c r="U1164" s="137">
        <f t="shared" si="273"/>
        <v>0</v>
      </c>
      <c r="V1164" s="137"/>
      <c r="W1164" s="137">
        <f t="shared" si="274"/>
        <v>0</v>
      </c>
      <c r="X1164" s="137">
        <f t="shared" si="270"/>
        <v>0</v>
      </c>
      <c r="Y1164" s="137">
        <f t="shared" si="275"/>
        <v>0</v>
      </c>
      <c r="Z1164" s="137">
        <v>122221.7</v>
      </c>
      <c r="AA1164" s="137">
        <f t="shared" si="271"/>
        <v>-122221.7</v>
      </c>
      <c r="AB1164" s="146">
        <f t="shared" si="276"/>
        <v>119825.19607843137</v>
      </c>
      <c r="AC1164" s="147">
        <f t="shared" si="272"/>
        <v>2396.5039215686265</v>
      </c>
      <c r="AD1164" s="137">
        <v>0</v>
      </c>
      <c r="AE1164" s="138">
        <v>0.06</v>
      </c>
      <c r="AF1164" s="137">
        <f t="shared" si="277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hidden="1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486</v>
      </c>
      <c r="G1165" s="119" t="s">
        <v>486</v>
      </c>
      <c r="H1165" s="119" t="s">
        <v>486</v>
      </c>
      <c r="I1165" s="163" t="s">
        <v>202</v>
      </c>
      <c r="J1165" s="119" t="s">
        <v>572</v>
      </c>
      <c r="K1165" s="119" t="s">
        <v>573</v>
      </c>
      <c r="L1165" s="119" t="s">
        <v>781</v>
      </c>
      <c r="M1165" s="119" t="s">
        <v>45</v>
      </c>
      <c r="N1165" s="136">
        <v>7.0000000000000007E-2</v>
      </c>
      <c r="O1165" s="135" t="s">
        <v>50</v>
      </c>
      <c r="P1165" s="135" t="s">
        <v>437</v>
      </c>
      <c r="Q1165" s="137">
        <v>0</v>
      </c>
      <c r="R1165" s="137">
        <v>0</v>
      </c>
      <c r="S1165" s="137"/>
      <c r="T1165" s="137">
        <f t="shared" si="269"/>
        <v>0</v>
      </c>
      <c r="U1165" s="137">
        <f t="shared" si="273"/>
        <v>0</v>
      </c>
      <c r="V1165" s="137"/>
      <c r="W1165" s="137">
        <f t="shared" si="274"/>
        <v>0</v>
      </c>
      <c r="X1165" s="137">
        <f t="shared" si="270"/>
        <v>0</v>
      </c>
      <c r="Y1165" s="137">
        <f t="shared" si="275"/>
        <v>0</v>
      </c>
      <c r="Z1165" s="137">
        <f>839984.18-Z678</f>
        <v>30900.010000000009</v>
      </c>
      <c r="AA1165" s="137">
        <f t="shared" si="271"/>
        <v>-30900.010000000009</v>
      </c>
      <c r="AB1165" s="146">
        <f t="shared" si="276"/>
        <v>28878.514018691596</v>
      </c>
      <c r="AC1165" s="147">
        <f t="shared" si="272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7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hidden="1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486</v>
      </c>
      <c r="G1166" s="119" t="s">
        <v>486</v>
      </c>
      <c r="H1166" s="119" t="s">
        <v>486</v>
      </c>
      <c r="I1166" s="119" t="s">
        <v>168</v>
      </c>
      <c r="J1166" s="119" t="s">
        <v>169</v>
      </c>
      <c r="K1166" s="119" t="s">
        <v>170</v>
      </c>
      <c r="L1166" s="119" t="s">
        <v>486</v>
      </c>
      <c r="M1166" s="119" t="s">
        <v>45</v>
      </c>
      <c r="N1166" s="136">
        <v>0.04</v>
      </c>
      <c r="O1166" s="135" t="s">
        <v>50</v>
      </c>
      <c r="P1166" s="135" t="s">
        <v>437</v>
      </c>
      <c r="Q1166" s="137">
        <v>0</v>
      </c>
      <c r="R1166" s="137">
        <v>0</v>
      </c>
      <c r="S1166" s="137"/>
      <c r="T1166" s="137">
        <f t="shared" si="269"/>
        <v>0</v>
      </c>
      <c r="U1166" s="137">
        <f t="shared" si="273"/>
        <v>0</v>
      </c>
      <c r="V1166" s="137"/>
      <c r="W1166" s="137">
        <f t="shared" si="274"/>
        <v>0</v>
      </c>
      <c r="X1166" s="137">
        <f t="shared" si="270"/>
        <v>0</v>
      </c>
      <c r="Y1166" s="137">
        <f t="shared" si="275"/>
        <v>0</v>
      </c>
      <c r="Z1166" s="137">
        <v>1704400</v>
      </c>
      <c r="AA1166" s="137">
        <f t="shared" si="271"/>
        <v>-1704400</v>
      </c>
      <c r="AB1166" s="146">
        <f t="shared" si="276"/>
        <v>1638846.1538461538</v>
      </c>
      <c r="AC1166" s="147">
        <f t="shared" si="272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7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hidden="1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499</v>
      </c>
      <c r="G1167" s="119" t="s">
        <v>499</v>
      </c>
      <c r="H1167" s="119" t="s">
        <v>499</v>
      </c>
      <c r="I1167" s="131" t="s">
        <v>241</v>
      </c>
      <c r="J1167" s="119" t="s">
        <v>242</v>
      </c>
      <c r="K1167" s="119" t="s">
        <v>243</v>
      </c>
      <c r="L1167" s="119" t="s">
        <v>500</v>
      </c>
      <c r="M1167" s="119" t="s">
        <v>45</v>
      </c>
      <c r="N1167" s="136">
        <v>0</v>
      </c>
      <c r="O1167" s="135" t="s">
        <v>46</v>
      </c>
      <c r="P1167" s="135" t="s">
        <v>437</v>
      </c>
      <c r="Q1167" s="137">
        <v>0</v>
      </c>
      <c r="R1167" s="137">
        <v>0</v>
      </c>
      <c r="S1167" s="137"/>
      <c r="T1167" s="137">
        <f t="shared" si="269"/>
        <v>0</v>
      </c>
      <c r="U1167" s="137">
        <f t="shared" si="273"/>
        <v>0</v>
      </c>
      <c r="V1167" s="137"/>
      <c r="W1167" s="137">
        <f t="shared" si="274"/>
        <v>0</v>
      </c>
      <c r="X1167" s="137">
        <f t="shared" si="270"/>
        <v>0</v>
      </c>
      <c r="Y1167" s="137">
        <f t="shared" si="275"/>
        <v>0</v>
      </c>
      <c r="Z1167" s="137">
        <v>21000</v>
      </c>
      <c r="AA1167" s="137">
        <f t="shared" si="271"/>
        <v>-21000</v>
      </c>
      <c r="AB1167" s="146">
        <f t="shared" si="276"/>
        <v>21000</v>
      </c>
      <c r="AC1167" s="147">
        <f t="shared" si="272"/>
        <v>0</v>
      </c>
      <c r="AD1167" s="137">
        <v>0</v>
      </c>
      <c r="AE1167" s="138">
        <v>0.17647058823529399</v>
      </c>
      <c r="AF1167" s="137">
        <f t="shared" si="277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400</v>
      </c>
      <c r="H1168" s="131" t="s">
        <v>400</v>
      </c>
      <c r="I1168" s="131" t="s">
        <v>241</v>
      </c>
      <c r="J1168" s="119" t="s">
        <v>242</v>
      </c>
      <c r="K1168" s="119" t="s">
        <v>243</v>
      </c>
      <c r="L1168" s="119" t="s">
        <v>542</v>
      </c>
      <c r="M1168" s="119" t="s">
        <v>45</v>
      </c>
      <c r="N1168" s="136">
        <v>0.05</v>
      </c>
      <c r="O1168" s="135" t="s">
        <v>50</v>
      </c>
      <c r="P1168" s="135" t="s">
        <v>437</v>
      </c>
      <c r="Q1168" s="137">
        <v>0</v>
      </c>
      <c r="T1168" s="137">
        <f t="shared" si="269"/>
        <v>0</v>
      </c>
      <c r="U1168" s="137">
        <f t="shared" si="273"/>
        <v>0</v>
      </c>
      <c r="V1168" s="137"/>
      <c r="W1168" s="137">
        <f t="shared" si="274"/>
        <v>0</v>
      </c>
      <c r="X1168" s="137">
        <f t="shared" si="270"/>
        <v>0</v>
      </c>
      <c r="Y1168" s="137">
        <f t="shared" si="275"/>
        <v>0</v>
      </c>
      <c r="Z1168" s="137">
        <v>3000</v>
      </c>
      <c r="AA1168" s="137">
        <f t="shared" si="271"/>
        <v>-3000</v>
      </c>
      <c r="AB1168" s="146">
        <f t="shared" si="276"/>
        <v>2857.1428571428569</v>
      </c>
      <c r="AC1168" s="147">
        <f t="shared" si="272"/>
        <v>142.85714285714312</v>
      </c>
      <c r="AD1168" s="137">
        <v>0</v>
      </c>
      <c r="AE1168" s="138">
        <v>0.17647058823529399</v>
      </c>
      <c r="AF1168" s="137">
        <f t="shared" si="277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hidden="1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701</v>
      </c>
      <c r="G1169" s="119" t="s">
        <v>701</v>
      </c>
      <c r="H1169" s="119" t="s">
        <v>701</v>
      </c>
      <c r="I1169" s="163" t="s">
        <v>202</v>
      </c>
      <c r="J1169" s="119" t="s">
        <v>572</v>
      </c>
      <c r="K1169" s="119" t="s">
        <v>573</v>
      </c>
      <c r="L1169" s="119" t="s">
        <v>702</v>
      </c>
      <c r="M1169" s="119" t="s">
        <v>45</v>
      </c>
      <c r="N1169" s="136">
        <v>0</v>
      </c>
      <c r="O1169" s="135" t="s">
        <v>46</v>
      </c>
      <c r="P1169" s="135" t="s">
        <v>437</v>
      </c>
      <c r="Q1169" s="137">
        <v>14152.34</v>
      </c>
      <c r="R1169" s="137"/>
      <c r="S1169" s="137"/>
      <c r="T1169" s="137">
        <f t="shared" si="269"/>
        <v>0</v>
      </c>
      <c r="U1169" s="137">
        <f t="shared" si="273"/>
        <v>0</v>
      </c>
      <c r="V1169" s="137"/>
      <c r="W1169" s="137">
        <f t="shared" si="274"/>
        <v>0</v>
      </c>
      <c r="X1169" s="137">
        <f t="shared" si="270"/>
        <v>0</v>
      </c>
      <c r="Y1169" s="137">
        <f t="shared" si="275"/>
        <v>0</v>
      </c>
      <c r="Z1169" s="137">
        <v>425959.02</v>
      </c>
      <c r="AA1169" s="137">
        <f t="shared" si="271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2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7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437</v>
      </c>
      <c r="Q1170" s="137">
        <v>0</v>
      </c>
      <c r="R1170" s="137">
        <v>0</v>
      </c>
      <c r="S1170" s="137"/>
      <c r="T1170" s="137">
        <f t="shared" si="269"/>
        <v>0</v>
      </c>
      <c r="U1170" s="137">
        <f t="shared" si="273"/>
        <v>0</v>
      </c>
      <c r="V1170" s="137"/>
      <c r="W1170" s="137">
        <f t="shared" si="274"/>
        <v>0</v>
      </c>
      <c r="X1170" s="137">
        <f t="shared" si="270"/>
        <v>0</v>
      </c>
      <c r="Y1170" s="137">
        <f t="shared" si="275"/>
        <v>0</v>
      </c>
      <c r="Z1170" s="137">
        <v>104000</v>
      </c>
      <c r="AA1170" s="137">
        <f t="shared" si="271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2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7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hidden="1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766</v>
      </c>
      <c r="G1171" s="119" t="s">
        <v>766</v>
      </c>
      <c r="H1171" s="119" t="s">
        <v>766</v>
      </c>
      <c r="I1171" s="163" t="s">
        <v>202</v>
      </c>
      <c r="J1171" s="119" t="s">
        <v>572</v>
      </c>
      <c r="K1171" s="119" t="s">
        <v>573</v>
      </c>
      <c r="L1171" s="119" t="s">
        <v>766</v>
      </c>
      <c r="M1171" s="119" t="s">
        <v>45</v>
      </c>
      <c r="N1171" s="135">
        <v>0.02</v>
      </c>
      <c r="O1171" s="135" t="s">
        <v>50</v>
      </c>
      <c r="P1171" s="135" t="s">
        <v>437</v>
      </c>
      <c r="Q1171" s="137">
        <v>14949.3</v>
      </c>
      <c r="R1171" s="137">
        <v>0</v>
      </c>
      <c r="S1171" s="137"/>
      <c r="T1171" s="137">
        <f t="shared" si="269"/>
        <v>0</v>
      </c>
      <c r="U1171" s="137">
        <f t="shared" si="273"/>
        <v>0</v>
      </c>
      <c r="V1171" s="137"/>
      <c r="W1171" s="137">
        <f t="shared" si="274"/>
        <v>0</v>
      </c>
      <c r="X1171" s="137">
        <f t="shared" si="270"/>
        <v>0</v>
      </c>
      <c r="Y1171" s="137">
        <f t="shared" si="275"/>
        <v>0</v>
      </c>
      <c r="Z1171" s="137">
        <v>220000</v>
      </c>
      <c r="AA1171" s="137">
        <f t="shared" si="271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2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7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hidden="1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766</v>
      </c>
      <c r="G1172" s="119" t="s">
        <v>766</v>
      </c>
      <c r="H1172" s="119" t="s">
        <v>766</v>
      </c>
      <c r="I1172" s="119" t="s">
        <v>168</v>
      </c>
      <c r="J1172" s="119" t="s">
        <v>169</v>
      </c>
      <c r="K1172" s="119" t="s">
        <v>170</v>
      </c>
      <c r="L1172" s="119" t="s">
        <v>766</v>
      </c>
      <c r="M1172" s="119" t="s">
        <v>45</v>
      </c>
      <c r="N1172" s="136">
        <v>0.02</v>
      </c>
      <c r="O1172" s="135" t="s">
        <v>50</v>
      </c>
      <c r="P1172" s="135" t="s">
        <v>437</v>
      </c>
      <c r="Q1172" s="137">
        <v>0</v>
      </c>
      <c r="R1172" s="137">
        <v>0</v>
      </c>
      <c r="S1172" s="137"/>
      <c r="T1172" s="137">
        <f t="shared" si="269"/>
        <v>0</v>
      </c>
      <c r="U1172" s="137">
        <f t="shared" si="273"/>
        <v>0</v>
      </c>
      <c r="V1172" s="137"/>
      <c r="W1172" s="137">
        <f t="shared" si="274"/>
        <v>0</v>
      </c>
      <c r="X1172" s="137">
        <f t="shared" si="270"/>
        <v>0</v>
      </c>
      <c r="Y1172" s="137">
        <f t="shared" si="275"/>
        <v>0</v>
      </c>
      <c r="Z1172" s="137">
        <v>369645.3</v>
      </c>
      <c r="AA1172" s="137">
        <f t="shared" si="271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2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7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hidden="1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660</v>
      </c>
      <c r="G1173" s="119" t="s">
        <v>660</v>
      </c>
      <c r="H1173" s="119" t="s">
        <v>660</v>
      </c>
      <c r="I1173" s="163" t="s">
        <v>202</v>
      </c>
      <c r="J1173" s="119" t="s">
        <v>572</v>
      </c>
      <c r="K1173" s="119" t="s">
        <v>573</v>
      </c>
      <c r="L1173" s="119" t="s">
        <v>661</v>
      </c>
      <c r="M1173" s="119" t="s">
        <v>45</v>
      </c>
      <c r="N1173" s="136">
        <v>7.0000000000000007E-2</v>
      </c>
      <c r="O1173" s="135" t="s">
        <v>492</v>
      </c>
      <c r="P1173" s="135" t="s">
        <v>662</v>
      </c>
      <c r="Q1173" s="137">
        <v>0</v>
      </c>
      <c r="R1173" s="137">
        <v>0</v>
      </c>
      <c r="S1173" s="137"/>
      <c r="T1173" s="137">
        <f t="shared" si="269"/>
        <v>0</v>
      </c>
      <c r="U1173" s="137">
        <f t="shared" si="273"/>
        <v>0</v>
      </c>
      <c r="V1173" s="137"/>
      <c r="W1173" s="137">
        <f t="shared" si="274"/>
        <v>0</v>
      </c>
      <c r="X1173" s="137">
        <f t="shared" si="270"/>
        <v>0</v>
      </c>
      <c r="Y1173" s="137">
        <f t="shared" si="275"/>
        <v>0</v>
      </c>
      <c r="Z1173" s="137">
        <v>160500</v>
      </c>
      <c r="AA1173" s="137">
        <f t="shared" si="271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2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7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hidden="1" x14ac:dyDescent="0.2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766</v>
      </c>
      <c r="G1174" s="174" t="s">
        <v>766</v>
      </c>
      <c r="H1174" s="174" t="s">
        <v>766</v>
      </c>
      <c r="I1174" s="119" t="s">
        <v>168</v>
      </c>
      <c r="J1174" s="182" t="s">
        <v>169</v>
      </c>
      <c r="K1174" s="172" t="s">
        <v>170</v>
      </c>
      <c r="L1174" s="172" t="s">
        <v>1079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ht="12" hidden="1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493</v>
      </c>
      <c r="G1175" s="175" t="s">
        <v>494</v>
      </c>
      <c r="H1175" s="176" t="s">
        <v>495</v>
      </c>
      <c r="I1175" s="175" t="s">
        <v>1068</v>
      </c>
      <c r="J1175" s="175" t="s">
        <v>566</v>
      </c>
      <c r="K1175" s="175" t="s">
        <v>1080</v>
      </c>
      <c r="L1175" s="175" t="s">
        <v>496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9">S1175*N1175</f>
        <v>98460</v>
      </c>
      <c r="U1175" s="192">
        <f t="shared" ref="U1175:U1189" si="280">S1175+T1175+R1175</f>
        <v>3380460</v>
      </c>
      <c r="V1175" s="192">
        <v>2888000</v>
      </c>
      <c r="W1175" s="192">
        <f t="shared" ref="W1175:W1177" si="281">U1175-V1175</f>
        <v>492460</v>
      </c>
      <c r="X1175" s="192">
        <f t="shared" ref="X1175:X1189" si="282">W1175/(1+N1175)</f>
        <v>478116.50485436892</v>
      </c>
      <c r="Y1175" s="192">
        <f t="shared" ref="Y1175:Y1177" si="283">W1175-X1175</f>
        <v>14343.495145631081</v>
      </c>
      <c r="Z1175" s="192">
        <v>5276269.99</v>
      </c>
      <c r="AA1175" s="192">
        <f t="shared" ref="AA1175:AA1189" si="284">Q1175+V1175-Z1175</f>
        <v>-2388269.9900000002</v>
      </c>
      <c r="AB1175" s="192">
        <f t="shared" ref="AB1175:AB1180" si="285">IF(P1175="返货",Z1175/(1+N1175),IF(P1175="返现",Z1175,IF(P1175="折扣",Z1175*N1175,IF(P1175="无",Z1175))))</f>
        <v>5122592.2233009711</v>
      </c>
      <c r="AC1175" s="192">
        <f t="shared" ref="AC1175:AC1212" si="286">IF(P1175="返现",Z1175*N1175,Z1175-AB1175)</f>
        <v>153677.76669902913</v>
      </c>
      <c r="AD1175" s="192">
        <f t="shared" ref="AD1175:AD1195" si="287">Z1175*0.635437793052747</f>
        <v>3352741.3579960396</v>
      </c>
      <c r="AE1175" s="192">
        <f t="shared" ref="AE1175:AE1222" si="288">Z1175*0.753358468667708</f>
        <v>3974922.6799437827</v>
      </c>
      <c r="AF1175" s="184">
        <v>0.08</v>
      </c>
      <c r="AG1175" s="192">
        <f t="shared" ref="AG1175:AG1186" si="289">AE1175*AF1175</f>
        <v>317993.81439550262</v>
      </c>
      <c r="AH1175" s="192">
        <f t="shared" ref="AH1175:AH1186" si="290">AB1175-Z1175+AG1175</f>
        <v>164316.04769647348</v>
      </c>
      <c r="AI1175" s="192"/>
      <c r="AJ1175" s="192"/>
      <c r="AK1175" s="203" t="s">
        <v>187</v>
      </c>
      <c r="AL1175" s="175"/>
      <c r="AM1175" s="175" t="s">
        <v>1081</v>
      </c>
    </row>
    <row r="1176" spans="1:39" s="121" customFormat="1" ht="12" hidden="1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772</v>
      </c>
      <c r="G1176" s="175" t="s">
        <v>772</v>
      </c>
      <c r="H1176" s="175" t="s">
        <v>772</v>
      </c>
      <c r="I1176" s="175" t="s">
        <v>1068</v>
      </c>
      <c r="J1176" s="175" t="s">
        <v>566</v>
      </c>
      <c r="K1176" s="175" t="s">
        <v>1080</v>
      </c>
      <c r="L1176" s="175" t="s">
        <v>772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9"/>
        <v>120</v>
      </c>
      <c r="U1176" s="192">
        <f t="shared" si="280"/>
        <v>6120</v>
      </c>
      <c r="V1176" s="192">
        <v>6000</v>
      </c>
      <c r="W1176" s="192">
        <f t="shared" si="281"/>
        <v>120</v>
      </c>
      <c r="X1176" s="192">
        <f t="shared" si="282"/>
        <v>117.64705882352941</v>
      </c>
      <c r="Y1176" s="192">
        <f t="shared" si="283"/>
        <v>2.3529411764705941</v>
      </c>
      <c r="Z1176" s="192">
        <v>6000</v>
      </c>
      <c r="AA1176" s="192">
        <f t="shared" si="284"/>
        <v>0</v>
      </c>
      <c r="AB1176" s="192">
        <f t="shared" si="285"/>
        <v>5882.3529411764703</v>
      </c>
      <c r="AC1176" s="192">
        <f t="shared" si="286"/>
        <v>117.64705882352973</v>
      </c>
      <c r="AD1176" s="192">
        <f t="shared" si="287"/>
        <v>3812.6267583164818</v>
      </c>
      <c r="AE1176" s="192">
        <f t="shared" si="288"/>
        <v>4520.1508120062481</v>
      </c>
      <c r="AF1176" s="184">
        <v>0.08</v>
      </c>
      <c r="AG1176" s="192">
        <f t="shared" si="289"/>
        <v>361.61206496049988</v>
      </c>
      <c r="AH1176" s="192">
        <f t="shared" si="290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ht="12" hidden="1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1082</v>
      </c>
      <c r="G1177" s="175" t="s">
        <v>1082</v>
      </c>
      <c r="H1177" s="175" t="s">
        <v>1082</v>
      </c>
      <c r="I1177" s="175" t="s">
        <v>1068</v>
      </c>
      <c r="J1177" s="175" t="s">
        <v>566</v>
      </c>
      <c r="K1177" s="175" t="s">
        <v>1080</v>
      </c>
      <c r="L1177" s="175" t="s">
        <v>1083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1"/>
        <v>10200</v>
      </c>
      <c r="X1177" s="192">
        <f t="shared" si="282"/>
        <v>10000</v>
      </c>
      <c r="Y1177" s="192">
        <f t="shared" si="283"/>
        <v>200</v>
      </c>
      <c r="Z1177" s="192">
        <v>10200</v>
      </c>
      <c r="AA1177" s="192">
        <f t="shared" si="284"/>
        <v>0</v>
      </c>
      <c r="AB1177" s="192">
        <f t="shared" si="285"/>
        <v>10000</v>
      </c>
      <c r="AC1177" s="192">
        <f t="shared" si="286"/>
        <v>200</v>
      </c>
      <c r="AD1177" s="192">
        <f t="shared" si="287"/>
        <v>6481.4654891380187</v>
      </c>
      <c r="AE1177" s="192">
        <f t="shared" si="288"/>
        <v>7684.2563804106212</v>
      </c>
      <c r="AF1177" s="184">
        <v>0.08</v>
      </c>
      <c r="AG1177" s="192">
        <f t="shared" si="289"/>
        <v>614.74051043284976</v>
      </c>
      <c r="AH1177" s="192">
        <f t="shared" si="290"/>
        <v>414.74051043284976</v>
      </c>
      <c r="AI1177" s="192"/>
      <c r="AJ1177" s="192"/>
      <c r="AK1177" s="203" t="s">
        <v>171</v>
      </c>
      <c r="AL1177" s="175" t="s">
        <v>1084</v>
      </c>
      <c r="AM1177" s="175"/>
    </row>
    <row r="1178" spans="1:39" s="121" customFormat="1" ht="12" hidden="1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1082</v>
      </c>
      <c r="G1178" s="177" t="s">
        <v>1082</v>
      </c>
      <c r="H1178" s="177" t="s">
        <v>1082</v>
      </c>
      <c r="I1178" s="175" t="s">
        <v>1068</v>
      </c>
      <c r="J1178" s="185" t="s">
        <v>566</v>
      </c>
      <c r="K1178" s="177" t="s">
        <v>1080</v>
      </c>
      <c r="L1178" s="177" t="s">
        <v>1085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2"/>
        <v>0</v>
      </c>
      <c r="Y1178" s="192">
        <v>0</v>
      </c>
      <c r="Z1178" s="192">
        <v>498</v>
      </c>
      <c r="AA1178" s="192">
        <f t="shared" si="284"/>
        <v>9502</v>
      </c>
      <c r="AB1178" s="192">
        <f t="shared" si="285"/>
        <v>488.23529411764707</v>
      </c>
      <c r="AC1178" s="192">
        <f t="shared" si="286"/>
        <v>9.7647058823529278</v>
      </c>
      <c r="AD1178" s="192">
        <f t="shared" si="287"/>
        <v>316.44802094026795</v>
      </c>
      <c r="AE1178" s="192">
        <f t="shared" si="288"/>
        <v>375.17251739651857</v>
      </c>
      <c r="AF1178" s="184">
        <v>0.08</v>
      </c>
      <c r="AG1178" s="192">
        <f t="shared" si="289"/>
        <v>30.013801391721486</v>
      </c>
      <c r="AH1178" s="192">
        <f t="shared" si="290"/>
        <v>20.249095509368559</v>
      </c>
      <c r="AI1178" s="192"/>
      <c r="AJ1178" s="192"/>
      <c r="AK1178" s="203"/>
      <c r="AL1178" s="175"/>
      <c r="AM1178" s="175"/>
    </row>
    <row r="1179" spans="1:39" s="121" customFormat="1" ht="12" hidden="1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1049</v>
      </c>
      <c r="G1179" s="175" t="s">
        <v>1050</v>
      </c>
      <c r="H1179" s="119" t="s">
        <v>1051</v>
      </c>
      <c r="I1179" s="175" t="s">
        <v>1068</v>
      </c>
      <c r="J1179" s="175" t="s">
        <v>566</v>
      </c>
      <c r="K1179" s="175" t="s">
        <v>1080</v>
      </c>
      <c r="L1179" s="175" t="s">
        <v>1049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9"/>
        <v>200</v>
      </c>
      <c r="U1179" s="192">
        <f t="shared" si="280"/>
        <v>10200</v>
      </c>
      <c r="V1179" s="192">
        <v>10200</v>
      </c>
      <c r="W1179" s="192">
        <f t="shared" ref="W1179:W1189" si="291">U1179-V1179</f>
        <v>0</v>
      </c>
      <c r="X1179" s="192">
        <f t="shared" si="282"/>
        <v>0</v>
      </c>
      <c r="Y1179" s="192">
        <f t="shared" ref="Y1179:Y1189" si="292">W1179-X1179</f>
        <v>0</v>
      </c>
      <c r="Z1179" s="192">
        <v>5611.79</v>
      </c>
      <c r="AA1179" s="192">
        <f t="shared" si="284"/>
        <v>4588.21</v>
      </c>
      <c r="AB1179" s="192">
        <f t="shared" si="285"/>
        <v>5501.7549019607841</v>
      </c>
      <c r="AC1179" s="192">
        <f t="shared" si="286"/>
        <v>110.03509803921588</v>
      </c>
      <c r="AD1179" s="192">
        <f t="shared" si="287"/>
        <v>3565.9434526754749</v>
      </c>
      <c r="AE1179" s="192">
        <f t="shared" si="288"/>
        <v>4227.6895208847563</v>
      </c>
      <c r="AF1179" s="184">
        <v>0.08</v>
      </c>
      <c r="AG1179" s="192">
        <f t="shared" si="289"/>
        <v>338.2151616707805</v>
      </c>
      <c r="AH1179" s="192">
        <f t="shared" si="290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ht="12" hidden="1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790</v>
      </c>
      <c r="H1180" s="175" t="s">
        <v>790</v>
      </c>
      <c r="I1180" s="175" t="s">
        <v>1068</v>
      </c>
      <c r="J1180" s="175" t="s">
        <v>566</v>
      </c>
      <c r="K1180" s="175" t="s">
        <v>1080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9"/>
        <v>200</v>
      </c>
      <c r="U1180" s="192">
        <f t="shared" si="280"/>
        <v>10200</v>
      </c>
      <c r="V1180" s="192">
        <v>10000</v>
      </c>
      <c r="W1180" s="192">
        <f t="shared" si="291"/>
        <v>200</v>
      </c>
      <c r="X1180" s="192">
        <f t="shared" si="282"/>
        <v>196.07843137254901</v>
      </c>
      <c r="Y1180" s="192">
        <f t="shared" si="292"/>
        <v>3.9215686274509949</v>
      </c>
      <c r="Z1180" s="192">
        <v>10000</v>
      </c>
      <c r="AA1180" s="192">
        <f t="shared" si="284"/>
        <v>0</v>
      </c>
      <c r="AB1180" s="192">
        <f t="shared" si="285"/>
        <v>9803.9215686274511</v>
      </c>
      <c r="AC1180" s="192">
        <f t="shared" si="286"/>
        <v>196.07843137254895</v>
      </c>
      <c r="AD1180" s="192">
        <f t="shared" si="287"/>
        <v>6354.3779305274693</v>
      </c>
      <c r="AE1180" s="192">
        <f t="shared" si="288"/>
        <v>7533.5846866770798</v>
      </c>
      <c r="AF1180" s="184">
        <v>0.08</v>
      </c>
      <c r="AG1180" s="192">
        <f t="shared" si="289"/>
        <v>602.68677493416635</v>
      </c>
      <c r="AH1180" s="192">
        <f t="shared" si="290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ht="12" hidden="1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891</v>
      </c>
      <c r="G1181" s="175" t="s">
        <v>891</v>
      </c>
      <c r="H1181" s="175" t="s">
        <v>891</v>
      </c>
      <c r="I1181" s="175" t="s">
        <v>1068</v>
      </c>
      <c r="J1181" s="175" t="s">
        <v>566</v>
      </c>
      <c r="K1181" s="175" t="s">
        <v>1080</v>
      </c>
      <c r="L1181" s="175" t="s">
        <v>891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9"/>
        <v>2400</v>
      </c>
      <c r="U1181" s="192">
        <f t="shared" si="280"/>
        <v>122400</v>
      </c>
      <c r="V1181" s="192">
        <v>122400</v>
      </c>
      <c r="W1181" s="192">
        <f t="shared" si="291"/>
        <v>0</v>
      </c>
      <c r="X1181" s="192">
        <f t="shared" si="282"/>
        <v>0</v>
      </c>
      <c r="Y1181" s="192">
        <f t="shared" si="292"/>
        <v>0</v>
      </c>
      <c r="Z1181" s="192">
        <v>165952.53000000003</v>
      </c>
      <c r="AA1181" s="192">
        <f t="shared" si="284"/>
        <v>10293.669999999984</v>
      </c>
      <c r="AB1181" s="192">
        <v>120000</v>
      </c>
      <c r="AC1181" s="192">
        <f t="shared" si="286"/>
        <v>45952.530000000028</v>
      </c>
      <c r="AD1181" s="192">
        <f t="shared" si="287"/>
        <v>105452.5094147198</v>
      </c>
      <c r="AE1181" s="192">
        <f t="shared" si="288"/>
        <v>125021.74387233188</v>
      </c>
      <c r="AF1181" s="184">
        <v>0.08</v>
      </c>
      <c r="AG1181" s="192">
        <f t="shared" si="289"/>
        <v>10001.73950978655</v>
      </c>
      <c r="AH1181" s="192">
        <f t="shared" si="290"/>
        <v>-35950.790490213476</v>
      </c>
      <c r="AI1181" s="192"/>
      <c r="AJ1181" s="192"/>
      <c r="AK1181" s="203" t="s">
        <v>1086</v>
      </c>
      <c r="AL1181" s="175"/>
      <c r="AM1181" s="175"/>
    </row>
    <row r="1182" spans="1:39" s="121" customFormat="1" ht="12" hidden="1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1087</v>
      </c>
      <c r="G1182" s="175" t="s">
        <v>1088</v>
      </c>
      <c r="H1182" s="175" t="s">
        <v>1088</v>
      </c>
      <c r="I1182" s="175" t="s">
        <v>1068</v>
      </c>
      <c r="J1182" s="175" t="s">
        <v>566</v>
      </c>
      <c r="K1182" s="175" t="s">
        <v>1080</v>
      </c>
      <c r="L1182" s="175" t="s">
        <v>1087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9"/>
        <v>0</v>
      </c>
      <c r="U1182" s="192">
        <f t="shared" si="280"/>
        <v>110000</v>
      </c>
      <c r="V1182" s="192">
        <v>110000</v>
      </c>
      <c r="W1182" s="192">
        <f t="shared" si="291"/>
        <v>0</v>
      </c>
      <c r="X1182" s="192">
        <f t="shared" si="282"/>
        <v>0</v>
      </c>
      <c r="Y1182" s="192">
        <f t="shared" si="292"/>
        <v>0</v>
      </c>
      <c r="Z1182" s="192">
        <v>132000</v>
      </c>
      <c r="AA1182" s="192">
        <f t="shared" si="284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6"/>
        <v>22000</v>
      </c>
      <c r="AD1182" s="192">
        <f t="shared" si="287"/>
        <v>83877.788682962593</v>
      </c>
      <c r="AE1182" s="192">
        <f t="shared" si="288"/>
        <v>99443.317864137454</v>
      </c>
      <c r="AF1182" s="184">
        <v>0.08</v>
      </c>
      <c r="AG1182" s="192">
        <f t="shared" si="289"/>
        <v>7955.4654291309962</v>
      </c>
      <c r="AH1182" s="192">
        <f t="shared" si="290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ht="12" hidden="1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1089</v>
      </c>
      <c r="G1183" s="175" t="s">
        <v>1089</v>
      </c>
      <c r="H1183" s="175" t="s">
        <v>1089</v>
      </c>
      <c r="I1183" s="175" t="s">
        <v>1068</v>
      </c>
      <c r="J1183" s="175" t="s">
        <v>566</v>
      </c>
      <c r="K1183" s="175" t="s">
        <v>1080</v>
      </c>
      <c r="L1183" s="175" t="s">
        <v>1089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9"/>
        <v>200</v>
      </c>
      <c r="U1183" s="192">
        <f t="shared" si="280"/>
        <v>10200</v>
      </c>
      <c r="V1183" s="192">
        <v>10000</v>
      </c>
      <c r="W1183" s="192">
        <f t="shared" si="291"/>
        <v>200</v>
      </c>
      <c r="X1183" s="192">
        <f t="shared" si="282"/>
        <v>196.07843137254901</v>
      </c>
      <c r="Y1183" s="192">
        <f t="shared" si="292"/>
        <v>3.9215686274509949</v>
      </c>
      <c r="Z1183" s="192">
        <v>10000</v>
      </c>
      <c r="AA1183" s="192">
        <f t="shared" si="284"/>
        <v>0</v>
      </c>
      <c r="AB1183" s="192">
        <f t="shared" ref="AB1183:AB1185" si="293">IF(P1183="返货",Z1183/(1+N1183),IF(P1183="返现",Z1183,IF(P1183="折扣",Z1183*N1183,IF(P1183="无",Z1183))))</f>
        <v>9803.9215686274511</v>
      </c>
      <c r="AC1183" s="192">
        <f t="shared" si="286"/>
        <v>196.07843137254895</v>
      </c>
      <c r="AD1183" s="192">
        <f t="shared" si="287"/>
        <v>6354.3779305274693</v>
      </c>
      <c r="AE1183" s="192">
        <f t="shared" si="288"/>
        <v>7533.5846866770798</v>
      </c>
      <c r="AF1183" s="184">
        <v>0.08</v>
      </c>
      <c r="AG1183" s="192">
        <f t="shared" si="289"/>
        <v>602.68677493416635</v>
      </c>
      <c r="AH1183" s="192">
        <f t="shared" si="290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ht="12" hidden="1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475</v>
      </c>
      <c r="G1184" s="175" t="s">
        <v>475</v>
      </c>
      <c r="H1184" s="175" t="s">
        <v>475</v>
      </c>
      <c r="I1184" s="175" t="s">
        <v>1068</v>
      </c>
      <c r="J1184" s="175" t="s">
        <v>566</v>
      </c>
      <c r="K1184" s="175" t="s">
        <v>1080</v>
      </c>
      <c r="L1184" s="175" t="s">
        <v>475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9"/>
        <v>21500</v>
      </c>
      <c r="U1184" s="192">
        <f t="shared" si="280"/>
        <v>451500</v>
      </c>
      <c r="V1184" s="192">
        <v>446317</v>
      </c>
      <c r="W1184" s="192">
        <f t="shared" si="291"/>
        <v>5183</v>
      </c>
      <c r="X1184" s="192">
        <f t="shared" si="282"/>
        <v>4936.1904761904761</v>
      </c>
      <c r="Y1184" s="192">
        <f t="shared" si="292"/>
        <v>246.80952380952385</v>
      </c>
      <c r="Z1184" s="192">
        <v>403175.07</v>
      </c>
      <c r="AA1184" s="192">
        <f t="shared" si="284"/>
        <v>43141.929999999993</v>
      </c>
      <c r="AB1184" s="192">
        <f t="shared" si="293"/>
        <v>383976.25714285712</v>
      </c>
      <c r="AC1184" s="192">
        <f t="shared" si="286"/>
        <v>19198.812857142882</v>
      </c>
      <c r="AD1184" s="192">
        <f t="shared" si="287"/>
        <v>256192.67669468676</v>
      </c>
      <c r="AE1184" s="192">
        <f t="shared" si="288"/>
        <v>303735.35334019596</v>
      </c>
      <c r="AF1184" s="184">
        <v>0.08</v>
      </c>
      <c r="AG1184" s="192">
        <f t="shared" si="289"/>
        <v>24298.828267215678</v>
      </c>
      <c r="AH1184" s="192">
        <f t="shared" si="290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ht="12" hidden="1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1068</v>
      </c>
      <c r="J1185" s="175" t="s">
        <v>566</v>
      </c>
      <c r="K1185" s="175" t="s">
        <v>1080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9"/>
        <v>21600</v>
      </c>
      <c r="U1185" s="192">
        <f t="shared" si="280"/>
        <v>1101600</v>
      </c>
      <c r="V1185" s="192">
        <v>999600</v>
      </c>
      <c r="W1185" s="192">
        <f t="shared" si="291"/>
        <v>102000</v>
      </c>
      <c r="X1185" s="192">
        <f t="shared" si="282"/>
        <v>100000</v>
      </c>
      <c r="Y1185" s="192">
        <f t="shared" si="292"/>
        <v>2000</v>
      </c>
      <c r="Z1185" s="192">
        <v>951278.55</v>
      </c>
      <c r="AA1185" s="192">
        <f t="shared" si="284"/>
        <v>48321.449999999953</v>
      </c>
      <c r="AB1185" s="192">
        <f t="shared" si="293"/>
        <v>932626.0294117647</v>
      </c>
      <c r="AC1185" s="192">
        <f t="shared" si="286"/>
        <v>18652.520588235348</v>
      </c>
      <c r="AD1185" s="192">
        <f t="shared" si="287"/>
        <v>604478.34239041724</v>
      </c>
      <c r="AE1185" s="192">
        <f t="shared" si="288"/>
        <v>716653.75170443766</v>
      </c>
      <c r="AF1185" s="184">
        <v>0.08</v>
      </c>
      <c r="AG1185" s="192">
        <f t="shared" si="289"/>
        <v>57332.300136355014</v>
      </c>
      <c r="AH1185" s="192">
        <f t="shared" si="290"/>
        <v>38679.779548119666</v>
      </c>
      <c r="AI1185" s="192"/>
      <c r="AJ1185" s="192"/>
      <c r="AK1185" s="203" t="s">
        <v>1086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1090</v>
      </c>
      <c r="G1186" s="175" t="s">
        <v>1091</v>
      </c>
      <c r="H1186" s="175" t="s">
        <v>1091</v>
      </c>
      <c r="I1186" s="175" t="s">
        <v>1068</v>
      </c>
      <c r="J1186" s="175" t="s">
        <v>566</v>
      </c>
      <c r="K1186" s="175" t="s">
        <v>1080</v>
      </c>
      <c r="L1186" s="175" t="s">
        <v>1090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9"/>
        <v>77200</v>
      </c>
      <c r="U1186" s="192">
        <f t="shared" si="280"/>
        <v>1042200</v>
      </c>
      <c r="V1186" s="192">
        <v>965000</v>
      </c>
      <c r="W1186" s="192">
        <f t="shared" si="291"/>
        <v>77200</v>
      </c>
      <c r="X1186" s="192">
        <f t="shared" si="282"/>
        <v>71481.481481481474</v>
      </c>
      <c r="Y1186" s="192">
        <f t="shared" si="292"/>
        <v>5718.5185185185255</v>
      </c>
      <c r="Z1186" s="192">
        <v>1145000</v>
      </c>
      <c r="AA1186" s="192">
        <f t="shared" si="284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6"/>
        <v>251481.48148148158</v>
      </c>
      <c r="AD1186" s="192">
        <f t="shared" si="287"/>
        <v>727576.27304539527</v>
      </c>
      <c r="AE1186" s="192">
        <f t="shared" si="288"/>
        <v>862595.44662452559</v>
      </c>
      <c r="AF1186" s="184">
        <v>0.08</v>
      </c>
      <c r="AG1186" s="192">
        <f t="shared" si="289"/>
        <v>69007.635729962043</v>
      </c>
      <c r="AH1186" s="192">
        <f t="shared" si="290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ht="12" hidden="1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1090</v>
      </c>
      <c r="G1187" s="175" t="s">
        <v>1091</v>
      </c>
      <c r="H1187" s="175" t="s">
        <v>1091</v>
      </c>
      <c r="I1187" s="175" t="s">
        <v>1068</v>
      </c>
      <c r="J1187" s="175" t="s">
        <v>566</v>
      </c>
      <c r="K1187" s="175" t="s">
        <v>1080</v>
      </c>
      <c r="L1187" s="175" t="s">
        <v>1090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9"/>
        <v>0</v>
      </c>
      <c r="U1187" s="192">
        <f t="shared" si="280"/>
        <v>0</v>
      </c>
      <c r="V1187" s="192">
        <v>0</v>
      </c>
      <c r="W1187" s="192">
        <f t="shared" si="291"/>
        <v>0</v>
      </c>
      <c r="X1187" s="192">
        <f t="shared" si="282"/>
        <v>0</v>
      </c>
      <c r="Y1187" s="192">
        <f t="shared" si="292"/>
        <v>0</v>
      </c>
      <c r="Z1187" s="192">
        <v>1242941.3500000001</v>
      </c>
      <c r="AA1187" s="192">
        <f t="shared" si="284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6"/>
        <v>660841.52592592605</v>
      </c>
      <c r="AD1187" s="192">
        <f t="shared" si="287"/>
        <v>789811.90833800193</v>
      </c>
      <c r="AE1187" s="192">
        <f t="shared" si="288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t="12" hidden="1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1068</v>
      </c>
      <c r="J1188" s="175" t="s">
        <v>566</v>
      </c>
      <c r="K1188" s="175" t="s">
        <v>1080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9"/>
        <v>31000</v>
      </c>
      <c r="U1188" s="192">
        <f t="shared" si="280"/>
        <v>1581000</v>
      </c>
      <c r="V1188" s="192">
        <v>1377000</v>
      </c>
      <c r="W1188" s="192">
        <f t="shared" si="291"/>
        <v>204000</v>
      </c>
      <c r="X1188" s="192">
        <f t="shared" si="282"/>
        <v>200000</v>
      </c>
      <c r="Y1188" s="192">
        <f t="shared" si="292"/>
        <v>4000</v>
      </c>
      <c r="Z1188" s="192">
        <v>647612.17000000004</v>
      </c>
      <c r="AA1188" s="192">
        <f t="shared" si="284"/>
        <v>729387.83</v>
      </c>
      <c r="AB1188" s="192">
        <f t="shared" ref="AB1188:AB1212" si="294">IF(P1188="返货",Z1188/(1+N1188),IF(P1188="返现",Z1188,IF(P1188="折扣",Z1188*N1188,IF(P1188="无",Z1188))))</f>
        <v>634913.89215686277</v>
      </c>
      <c r="AC1188" s="192">
        <f t="shared" si="286"/>
        <v>12698.277843137272</v>
      </c>
      <c r="AD1188" s="192">
        <f t="shared" si="287"/>
        <v>411517.24805890041</v>
      </c>
      <c r="AE1188" s="192">
        <f t="shared" si="288"/>
        <v>487884.1126817714</v>
      </c>
      <c r="AF1188" s="184">
        <v>0.08</v>
      </c>
      <c r="AG1188" s="192">
        <f t="shared" ref="AG1188:AG1222" si="295">AE1188*AF1188</f>
        <v>39030.729014541714</v>
      </c>
      <c r="AH1188" s="192">
        <f t="shared" ref="AH1188:AH1222" si="296">AB1188-Z1188+AG1188</f>
        <v>26332.451171404442</v>
      </c>
      <c r="AI1188" s="192"/>
      <c r="AJ1188" s="192"/>
      <c r="AK1188" s="203" t="s">
        <v>1086</v>
      </c>
      <c r="AL1188" s="175"/>
      <c r="AM1188" s="175"/>
    </row>
    <row r="1189" spans="1:39" s="121" customFormat="1" ht="12" hidden="1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605</v>
      </c>
      <c r="G1189" s="175" t="s">
        <v>605</v>
      </c>
      <c r="H1189" s="175" t="s">
        <v>605</v>
      </c>
      <c r="I1189" s="175" t="s">
        <v>1068</v>
      </c>
      <c r="J1189" s="175" t="s">
        <v>566</v>
      </c>
      <c r="K1189" s="175" t="s">
        <v>1080</v>
      </c>
      <c r="L1189" s="175" t="s">
        <v>605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9"/>
        <v>200</v>
      </c>
      <c r="U1189" s="192">
        <f t="shared" si="280"/>
        <v>10200</v>
      </c>
      <c r="V1189" s="192">
        <v>10200</v>
      </c>
      <c r="W1189" s="192">
        <f t="shared" si="291"/>
        <v>0</v>
      </c>
      <c r="X1189" s="192">
        <f t="shared" si="282"/>
        <v>0</v>
      </c>
      <c r="Y1189" s="192">
        <f t="shared" si="292"/>
        <v>0</v>
      </c>
      <c r="Z1189" s="192">
        <v>10200</v>
      </c>
      <c r="AA1189" s="192">
        <f t="shared" si="284"/>
        <v>0</v>
      </c>
      <c r="AB1189" s="192">
        <f t="shared" si="294"/>
        <v>10000</v>
      </c>
      <c r="AC1189" s="192">
        <f t="shared" si="286"/>
        <v>200</v>
      </c>
      <c r="AD1189" s="192">
        <f t="shared" si="287"/>
        <v>6481.4654891380187</v>
      </c>
      <c r="AE1189" s="192">
        <f t="shared" si="288"/>
        <v>7684.2563804106212</v>
      </c>
      <c r="AF1189" s="184">
        <v>0.08</v>
      </c>
      <c r="AG1189" s="192">
        <f t="shared" si="295"/>
        <v>614.74051043284976</v>
      </c>
      <c r="AH1189" s="192">
        <f t="shared" si="296"/>
        <v>414.74051043284976</v>
      </c>
      <c r="AI1189" s="192"/>
      <c r="AJ1189" s="192"/>
      <c r="AK1189" s="203" t="s">
        <v>1086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598</v>
      </c>
      <c r="G1190" s="177" t="s">
        <v>599</v>
      </c>
      <c r="H1190" s="177" t="s">
        <v>599</v>
      </c>
      <c r="I1190" s="175" t="s">
        <v>1068</v>
      </c>
      <c r="J1190" s="185" t="s">
        <v>566</v>
      </c>
      <c r="K1190" s="177" t="s">
        <v>1080</v>
      </c>
      <c r="L1190" s="177" t="s">
        <v>598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4"/>
        <v>100663.14</v>
      </c>
      <c r="AC1190" s="192">
        <f t="shared" si="286"/>
        <v>0</v>
      </c>
      <c r="AD1190" s="192">
        <f t="shared" si="287"/>
        <v>63965.16352335969</v>
      </c>
      <c r="AE1190" s="192">
        <f t="shared" si="288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1092</v>
      </c>
      <c r="AM1190" s="177"/>
    </row>
    <row r="1191" spans="1:39" s="121" customFormat="1" ht="12" hidden="1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1068</v>
      </c>
      <c r="J1191" s="175" t="s">
        <v>566</v>
      </c>
      <c r="K1191" s="175" t="s">
        <v>1080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7">S1191*N1191</f>
        <v>456.14960000000002</v>
      </c>
      <c r="U1191" s="192">
        <f t="shared" ref="U1191:U1222" si="298">S1191+T1191+R1191</f>
        <v>23263.6296</v>
      </c>
      <c r="V1191" s="192">
        <v>23263.6296</v>
      </c>
      <c r="W1191" s="192">
        <f t="shared" ref="W1191:W1222" si="299">U1191-V1191</f>
        <v>0</v>
      </c>
      <c r="X1191" s="192">
        <f t="shared" ref="X1191:X1222" si="300">W1191/(1+N1191)</f>
        <v>0</v>
      </c>
      <c r="Y1191" s="192">
        <f t="shared" ref="Y1191:Y1222" si="301">W1191-X1191</f>
        <v>0</v>
      </c>
      <c r="Z1191" s="192">
        <v>23263.63</v>
      </c>
      <c r="AA1191" s="192">
        <f t="shared" ref="AA1191:AA1222" si="302">Q1191+V1191-Z1191</f>
        <v>-4.0000000080908649E-4</v>
      </c>
      <c r="AB1191" s="192">
        <f t="shared" si="294"/>
        <v>22807.480392156864</v>
      </c>
      <c r="AC1191" s="192">
        <f t="shared" si="286"/>
        <v>456.14960784313735</v>
      </c>
      <c r="AD1191" s="192">
        <f t="shared" si="287"/>
        <v>14782.589705595676</v>
      </c>
      <c r="AE1191" s="192">
        <f t="shared" si="288"/>
        <v>17525.852672452151</v>
      </c>
      <c r="AF1191" s="184">
        <v>0.08</v>
      </c>
      <c r="AG1191" s="192">
        <f t="shared" si="295"/>
        <v>1402.0682137961721</v>
      </c>
      <c r="AH1191" s="192">
        <f t="shared" si="296"/>
        <v>945.91860595303478</v>
      </c>
      <c r="AI1191" s="192"/>
      <c r="AJ1191" s="192"/>
      <c r="AK1191" s="203" t="s">
        <v>1086</v>
      </c>
      <c r="AL1191" s="175" t="s">
        <v>1093</v>
      </c>
      <c r="AM1191" s="175"/>
    </row>
    <row r="1192" spans="1:39" s="121" customFormat="1" ht="12" hidden="1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791</v>
      </c>
      <c r="G1192" s="175" t="s">
        <v>791</v>
      </c>
      <c r="H1192" s="175" t="s">
        <v>791</v>
      </c>
      <c r="I1192" s="175" t="s">
        <v>1068</v>
      </c>
      <c r="J1192" s="175" t="s">
        <v>566</v>
      </c>
      <c r="K1192" s="175" t="s">
        <v>1080</v>
      </c>
      <c r="L1192" s="175" t="s">
        <v>791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7"/>
        <v>2800</v>
      </c>
      <c r="U1192" s="192">
        <f t="shared" si="298"/>
        <v>142800</v>
      </c>
      <c r="V1192" s="192">
        <v>120000</v>
      </c>
      <c r="W1192" s="192">
        <f t="shared" si="299"/>
        <v>22800</v>
      </c>
      <c r="X1192" s="192">
        <f t="shared" si="300"/>
        <v>22352.941176470587</v>
      </c>
      <c r="Y1192" s="192">
        <f t="shared" si="301"/>
        <v>447.05882352941262</v>
      </c>
      <c r="Z1192" s="192">
        <v>109045.25</v>
      </c>
      <c r="AA1192" s="192">
        <f t="shared" si="302"/>
        <v>10954.75</v>
      </c>
      <c r="AB1192" s="192">
        <f t="shared" si="294"/>
        <v>106907.10784313726</v>
      </c>
      <c r="AC1192" s="192">
        <f t="shared" si="286"/>
        <v>2138.1421568627411</v>
      </c>
      <c r="AD1192" s="192">
        <f t="shared" si="287"/>
        <v>69291.473002885061</v>
      </c>
      <c r="AE1192" s="192">
        <f t="shared" si="288"/>
        <v>82150.162555487375</v>
      </c>
      <c r="AF1192" s="184">
        <v>0.08</v>
      </c>
      <c r="AG1192" s="192">
        <f t="shared" si="295"/>
        <v>6572.0130044389898</v>
      </c>
      <c r="AH1192" s="192">
        <f t="shared" si="296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ht="12" hidden="1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808</v>
      </c>
      <c r="F1193" s="175" t="s">
        <v>200</v>
      </c>
      <c r="G1193" s="175" t="s">
        <v>201</v>
      </c>
      <c r="H1193" s="175" t="s">
        <v>201</v>
      </c>
      <c r="I1193" s="175" t="s">
        <v>1068</v>
      </c>
      <c r="J1193" s="175" t="s">
        <v>566</v>
      </c>
      <c r="K1193" s="175" t="s">
        <v>1080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7"/>
        <v>7500</v>
      </c>
      <c r="U1193" s="192">
        <f t="shared" si="298"/>
        <v>157500</v>
      </c>
      <c r="V1193" s="192">
        <v>152018</v>
      </c>
      <c r="W1193" s="192">
        <f t="shared" si="299"/>
        <v>5482</v>
      </c>
      <c r="X1193" s="192">
        <f t="shared" si="300"/>
        <v>5220.9523809523807</v>
      </c>
      <c r="Y1193" s="192">
        <f t="shared" si="301"/>
        <v>261.04761904761926</v>
      </c>
      <c r="Z1193" s="192">
        <v>52018</v>
      </c>
      <c r="AA1193" s="192">
        <f t="shared" si="302"/>
        <v>100000</v>
      </c>
      <c r="AB1193" s="192">
        <f t="shared" si="294"/>
        <v>49540.952380952382</v>
      </c>
      <c r="AC1193" s="192">
        <f t="shared" si="286"/>
        <v>2477.0476190476184</v>
      </c>
      <c r="AD1193" s="192">
        <f t="shared" si="287"/>
        <v>33054.203119017788</v>
      </c>
      <c r="AE1193" s="192">
        <f t="shared" si="288"/>
        <v>39188.200823156832</v>
      </c>
      <c r="AF1193" s="184">
        <v>0.08</v>
      </c>
      <c r="AG1193" s="192">
        <f t="shared" si="295"/>
        <v>3135.0560658525465</v>
      </c>
      <c r="AH1193" s="192">
        <f t="shared" si="296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ht="12" hidden="1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1094</v>
      </c>
      <c r="G1194" s="175" t="s">
        <v>1094</v>
      </c>
      <c r="H1194" s="175" t="s">
        <v>1094</v>
      </c>
      <c r="I1194" s="175" t="s">
        <v>1068</v>
      </c>
      <c r="J1194" s="175" t="s">
        <v>566</v>
      </c>
      <c r="K1194" s="175" t="s">
        <v>1080</v>
      </c>
      <c r="L1194" s="175" t="s">
        <v>1094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7"/>
        <v>13109.804</v>
      </c>
      <c r="U1194" s="192">
        <f t="shared" si="298"/>
        <v>668600.00399999996</v>
      </c>
      <c r="V1194" s="192">
        <v>948600</v>
      </c>
      <c r="W1194" s="192">
        <f t="shared" si="299"/>
        <v>-279999.99600000004</v>
      </c>
      <c r="X1194" s="192">
        <f t="shared" si="300"/>
        <v>-274509.80000000005</v>
      </c>
      <c r="Y1194" s="192">
        <f t="shared" si="301"/>
        <v>-5490.1959999999963</v>
      </c>
      <c r="Z1194" s="192">
        <v>613912.05000000005</v>
      </c>
      <c r="AA1194" s="192">
        <f t="shared" si="302"/>
        <v>334687.94999999995</v>
      </c>
      <c r="AB1194" s="192">
        <f t="shared" si="294"/>
        <v>601874.5588235294</v>
      </c>
      <c r="AC1194" s="192">
        <f t="shared" si="286"/>
        <v>12037.491176470648</v>
      </c>
      <c r="AD1194" s="192">
        <f t="shared" si="287"/>
        <v>390102.91818048764</v>
      </c>
      <c r="AE1194" s="192">
        <f t="shared" si="288"/>
        <v>462495.84188465338</v>
      </c>
      <c r="AF1194" s="184">
        <v>0.08</v>
      </c>
      <c r="AG1194" s="192">
        <f t="shared" si="295"/>
        <v>36999.667350772273</v>
      </c>
      <c r="AH1194" s="192">
        <f t="shared" si="296"/>
        <v>24962.176174301625</v>
      </c>
      <c r="AI1194" s="192"/>
      <c r="AJ1194" s="192"/>
      <c r="AK1194" s="203" t="s">
        <v>1086</v>
      </c>
      <c r="AL1194" s="175" t="s">
        <v>1095</v>
      </c>
      <c r="AM1194" s="175"/>
    </row>
    <row r="1195" spans="1:39" s="121" customFormat="1" ht="12" hidden="1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1096</v>
      </c>
      <c r="G1195" s="175" t="s">
        <v>1096</v>
      </c>
      <c r="H1195" s="175" t="s">
        <v>1096</v>
      </c>
      <c r="I1195" s="175" t="s">
        <v>1068</v>
      </c>
      <c r="J1195" s="175" t="s">
        <v>566</v>
      </c>
      <c r="K1195" s="175" t="s">
        <v>1080</v>
      </c>
      <c r="L1195" s="175" t="s">
        <v>1096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7"/>
        <v>600</v>
      </c>
      <c r="U1195" s="192">
        <f t="shared" si="298"/>
        <v>30600</v>
      </c>
      <c r="V1195" s="192">
        <v>30600</v>
      </c>
      <c r="W1195" s="192">
        <f t="shared" si="299"/>
        <v>0</v>
      </c>
      <c r="X1195" s="192">
        <f t="shared" si="300"/>
        <v>0</v>
      </c>
      <c r="Y1195" s="192">
        <f t="shared" si="301"/>
        <v>0</v>
      </c>
      <c r="Z1195" s="192">
        <v>30600</v>
      </c>
      <c r="AA1195" s="192">
        <f t="shared" si="302"/>
        <v>0</v>
      </c>
      <c r="AB1195" s="192">
        <f t="shared" si="294"/>
        <v>30000</v>
      </c>
      <c r="AC1195" s="192">
        <f t="shared" si="286"/>
        <v>600</v>
      </c>
      <c r="AD1195" s="192">
        <f t="shared" si="287"/>
        <v>19444.396467414055</v>
      </c>
      <c r="AE1195" s="192">
        <f t="shared" si="288"/>
        <v>23052.769141231864</v>
      </c>
      <c r="AF1195" s="184">
        <v>0.08</v>
      </c>
      <c r="AG1195" s="192">
        <f t="shared" si="295"/>
        <v>1844.2215312985491</v>
      </c>
      <c r="AH1195" s="192">
        <f t="shared" si="296"/>
        <v>1244.2215312985491</v>
      </c>
      <c r="AI1195" s="192"/>
      <c r="AJ1195" s="192"/>
      <c r="AK1195" s="203" t="s">
        <v>171</v>
      </c>
      <c r="AL1195" s="175" t="s">
        <v>1097</v>
      </c>
      <c r="AM1195" s="175"/>
    </row>
    <row r="1196" spans="1:39" s="121" customFormat="1" ht="12" hidden="1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1098</v>
      </c>
      <c r="G1196" s="175" t="s">
        <v>1099</v>
      </c>
      <c r="H1196" s="175" t="s">
        <v>1099</v>
      </c>
      <c r="I1196" s="175" t="s">
        <v>1068</v>
      </c>
      <c r="J1196" s="175" t="s">
        <v>566</v>
      </c>
      <c r="K1196" s="175" t="s">
        <v>1080</v>
      </c>
      <c r="L1196" s="175" t="s">
        <v>1098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7"/>
        <v>200</v>
      </c>
      <c r="U1196" s="192">
        <f t="shared" si="298"/>
        <v>10200</v>
      </c>
      <c r="V1196" s="192">
        <v>10200</v>
      </c>
      <c r="W1196" s="192">
        <f t="shared" si="299"/>
        <v>0</v>
      </c>
      <c r="X1196" s="192">
        <f t="shared" si="300"/>
        <v>0</v>
      </c>
      <c r="Y1196" s="192">
        <f t="shared" si="301"/>
        <v>0</v>
      </c>
      <c r="Z1196" s="192">
        <v>10200</v>
      </c>
      <c r="AA1196" s="192">
        <f t="shared" si="302"/>
        <v>0</v>
      </c>
      <c r="AB1196" s="192">
        <f t="shared" si="294"/>
        <v>10000</v>
      </c>
      <c r="AC1196" s="192">
        <f t="shared" si="286"/>
        <v>200</v>
      </c>
      <c r="AD1196" s="192">
        <v>9588</v>
      </c>
      <c r="AE1196" s="192">
        <f t="shared" si="288"/>
        <v>7684.2563804106212</v>
      </c>
      <c r="AF1196" s="184">
        <v>0.06</v>
      </c>
      <c r="AG1196" s="192">
        <f t="shared" si="295"/>
        <v>461.05538282463726</v>
      </c>
      <c r="AH1196" s="192">
        <f t="shared" si="296"/>
        <v>261.05538282463726</v>
      </c>
      <c r="AI1196" s="192"/>
      <c r="AJ1196" s="192"/>
      <c r="AK1196" s="203" t="s">
        <v>171</v>
      </c>
      <c r="AL1196" s="175" t="s">
        <v>1100</v>
      </c>
      <c r="AM1196" s="175"/>
    </row>
    <row r="1197" spans="1:39" s="121" customFormat="1" ht="12" hidden="1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1068</v>
      </c>
      <c r="J1197" s="175" t="s">
        <v>566</v>
      </c>
      <c r="K1197" s="175" t="s">
        <v>1080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7"/>
        <v>800</v>
      </c>
      <c r="U1197" s="192">
        <f t="shared" si="298"/>
        <v>40800</v>
      </c>
      <c r="V1197" s="192">
        <v>40800</v>
      </c>
      <c r="W1197" s="192">
        <f t="shared" si="299"/>
        <v>0</v>
      </c>
      <c r="X1197" s="192">
        <f t="shared" si="300"/>
        <v>0</v>
      </c>
      <c r="Y1197" s="192">
        <f t="shared" si="301"/>
        <v>0</v>
      </c>
      <c r="Z1197" s="192">
        <v>40800</v>
      </c>
      <c r="AA1197" s="192">
        <f t="shared" si="302"/>
        <v>0</v>
      </c>
      <c r="AB1197" s="192">
        <f t="shared" si="294"/>
        <v>40000</v>
      </c>
      <c r="AC1197" s="192">
        <f t="shared" si="286"/>
        <v>800</v>
      </c>
      <c r="AD1197" s="192">
        <f t="shared" ref="AD1197:AD1223" si="303">Z1197*0.635437793052747</f>
        <v>25925.861956552075</v>
      </c>
      <c r="AE1197" s="192">
        <f t="shared" si="288"/>
        <v>30737.025521642485</v>
      </c>
      <c r="AF1197" s="184">
        <v>0.08</v>
      </c>
      <c r="AG1197" s="192">
        <f t="shared" si="295"/>
        <v>2458.962041731399</v>
      </c>
      <c r="AH1197" s="192">
        <f t="shared" si="296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ht="12" hidden="1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902</v>
      </c>
      <c r="G1198" s="175" t="s">
        <v>902</v>
      </c>
      <c r="H1198" s="175" t="s">
        <v>902</v>
      </c>
      <c r="I1198" s="175" t="s">
        <v>1068</v>
      </c>
      <c r="J1198" s="175" t="s">
        <v>566</v>
      </c>
      <c r="K1198" s="175" t="s">
        <v>1080</v>
      </c>
      <c r="L1198" s="175" t="s">
        <v>902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7"/>
        <v>1900</v>
      </c>
      <c r="U1198" s="192">
        <f t="shared" si="298"/>
        <v>96900</v>
      </c>
      <c r="V1198" s="192">
        <v>76500</v>
      </c>
      <c r="W1198" s="192">
        <f t="shared" si="299"/>
        <v>20400</v>
      </c>
      <c r="X1198" s="192">
        <f t="shared" si="300"/>
        <v>20000</v>
      </c>
      <c r="Y1198" s="192">
        <f t="shared" si="301"/>
        <v>400</v>
      </c>
      <c r="Z1198" s="192">
        <v>67093.350000000006</v>
      </c>
      <c r="AA1198" s="192">
        <f t="shared" si="302"/>
        <v>9406.6499999999942</v>
      </c>
      <c r="AB1198" s="192">
        <f t="shared" si="294"/>
        <v>65777.794117647063</v>
      </c>
      <c r="AC1198" s="192">
        <f t="shared" si="286"/>
        <v>1315.5558823529427</v>
      </c>
      <c r="AD1198" s="192">
        <f t="shared" si="303"/>
        <v>42633.650252515523</v>
      </c>
      <c r="AE1198" s="192">
        <f t="shared" si="288"/>
        <v>50545.34341378657</v>
      </c>
      <c r="AF1198" s="184">
        <v>0.08</v>
      </c>
      <c r="AG1198" s="192">
        <f t="shared" si="295"/>
        <v>4043.6274731029257</v>
      </c>
      <c r="AH1198" s="192">
        <f t="shared" si="296"/>
        <v>2728.071590749983</v>
      </c>
      <c r="AI1198" s="192"/>
      <c r="AJ1198" s="192"/>
      <c r="AK1198" s="203" t="s">
        <v>1086</v>
      </c>
      <c r="AL1198" s="175"/>
      <c r="AM1198" s="175"/>
    </row>
    <row r="1199" spans="1:39" s="121" customFormat="1" ht="12" hidden="1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903</v>
      </c>
      <c r="G1199" s="175" t="s">
        <v>903</v>
      </c>
      <c r="H1199" s="175" t="s">
        <v>903</v>
      </c>
      <c r="I1199" s="175" t="s">
        <v>1068</v>
      </c>
      <c r="J1199" s="175" t="s">
        <v>566</v>
      </c>
      <c r="K1199" s="175" t="s">
        <v>1080</v>
      </c>
      <c r="L1199" s="175" t="s">
        <v>903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7"/>
        <v>400</v>
      </c>
      <c r="U1199" s="192">
        <f t="shared" si="298"/>
        <v>20400</v>
      </c>
      <c r="V1199" s="192">
        <v>10200</v>
      </c>
      <c r="W1199" s="192">
        <f t="shared" si="299"/>
        <v>10200</v>
      </c>
      <c r="X1199" s="192">
        <f t="shared" si="300"/>
        <v>10000</v>
      </c>
      <c r="Y1199" s="192">
        <f t="shared" si="301"/>
        <v>200</v>
      </c>
      <c r="Z1199" s="192">
        <v>1284.05</v>
      </c>
      <c r="AA1199" s="192">
        <f t="shared" si="302"/>
        <v>8915.9500000000007</v>
      </c>
      <c r="AB1199" s="192">
        <f t="shared" si="294"/>
        <v>1258.8725490196077</v>
      </c>
      <c r="AC1199" s="192">
        <f t="shared" si="286"/>
        <v>25.177450980392223</v>
      </c>
      <c r="AD1199" s="192">
        <f t="shared" si="303"/>
        <v>815.93389816937963</v>
      </c>
      <c r="AE1199" s="192">
        <f t="shared" si="288"/>
        <v>967.34994169277036</v>
      </c>
      <c r="AF1199" s="184">
        <v>0.08</v>
      </c>
      <c r="AG1199" s="192">
        <f t="shared" si="295"/>
        <v>77.387995335421635</v>
      </c>
      <c r="AH1199" s="192">
        <f t="shared" si="296"/>
        <v>52.210544355029413</v>
      </c>
      <c r="AI1199" s="192"/>
      <c r="AJ1199" s="192"/>
      <c r="AK1199" s="203" t="s">
        <v>1086</v>
      </c>
      <c r="AL1199" s="175"/>
      <c r="AM1199" s="175"/>
    </row>
    <row r="1200" spans="1:39" s="121" customFormat="1" ht="12" hidden="1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1101</v>
      </c>
      <c r="G1200" s="175" t="s">
        <v>1101</v>
      </c>
      <c r="H1200" s="175" t="s">
        <v>1101</v>
      </c>
      <c r="I1200" s="175" t="s">
        <v>1068</v>
      </c>
      <c r="J1200" s="175" t="s">
        <v>566</v>
      </c>
      <c r="K1200" s="175" t="s">
        <v>1080</v>
      </c>
      <c r="L1200" s="175" t="s">
        <v>1101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7"/>
        <v>300</v>
      </c>
      <c r="U1200" s="192">
        <f t="shared" si="298"/>
        <v>15300</v>
      </c>
      <c r="V1200" s="192">
        <v>15300</v>
      </c>
      <c r="W1200" s="192">
        <f t="shared" si="299"/>
        <v>0</v>
      </c>
      <c r="X1200" s="192">
        <f t="shared" si="300"/>
        <v>0</v>
      </c>
      <c r="Y1200" s="192">
        <f t="shared" si="301"/>
        <v>0</v>
      </c>
      <c r="Z1200" s="192">
        <v>15300</v>
      </c>
      <c r="AA1200" s="192">
        <f t="shared" si="302"/>
        <v>0</v>
      </c>
      <c r="AB1200" s="192">
        <f t="shared" si="294"/>
        <v>15000</v>
      </c>
      <c r="AC1200" s="192">
        <f t="shared" si="286"/>
        <v>300</v>
      </c>
      <c r="AD1200" s="192">
        <f t="shared" si="303"/>
        <v>9722.1982337070276</v>
      </c>
      <c r="AE1200" s="192">
        <f t="shared" si="288"/>
        <v>11526.384570615932</v>
      </c>
      <c r="AF1200" s="184">
        <v>0.08</v>
      </c>
      <c r="AG1200" s="192">
        <f t="shared" si="295"/>
        <v>922.11076564927453</v>
      </c>
      <c r="AH1200" s="192">
        <f t="shared" si="296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ht="12" hidden="1" x14ac:dyDescent="0.2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1068</v>
      </c>
      <c r="J1201" s="176" t="s">
        <v>600</v>
      </c>
      <c r="K1201" s="175" t="s">
        <v>1102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7"/>
        <v>0</v>
      </c>
      <c r="U1201" s="192">
        <f t="shared" si="298"/>
        <v>30000</v>
      </c>
      <c r="V1201" s="192">
        <v>30000</v>
      </c>
      <c r="W1201" s="192">
        <f t="shared" si="299"/>
        <v>0</v>
      </c>
      <c r="X1201" s="192">
        <f t="shared" si="300"/>
        <v>0</v>
      </c>
      <c r="Y1201" s="192">
        <f t="shared" si="301"/>
        <v>0</v>
      </c>
      <c r="Z1201" s="192">
        <v>29953.75</v>
      </c>
      <c r="AA1201" s="192">
        <f t="shared" si="302"/>
        <v>46.25</v>
      </c>
      <c r="AB1201" s="192">
        <f t="shared" si="294"/>
        <v>29953.75</v>
      </c>
      <c r="AC1201" s="192">
        <f t="shared" si="286"/>
        <v>0</v>
      </c>
      <c r="AD1201" s="192">
        <f t="shared" si="303"/>
        <v>19033.744793653717</v>
      </c>
      <c r="AE1201" s="192">
        <f t="shared" si="288"/>
        <v>22565.911230855356</v>
      </c>
      <c r="AF1201" s="184">
        <v>0.08</v>
      </c>
      <c r="AG1201" s="192">
        <f t="shared" si="295"/>
        <v>1805.2728984684286</v>
      </c>
      <c r="AH1201" s="192">
        <f t="shared" si="296"/>
        <v>1805.2728984684286</v>
      </c>
      <c r="AI1201" s="192"/>
      <c r="AJ1201" s="192"/>
      <c r="AK1201" s="203" t="s">
        <v>1103</v>
      </c>
      <c r="AL1201" s="175" t="s">
        <v>1104</v>
      </c>
      <c r="AM1201" s="175"/>
    </row>
    <row r="1202" spans="1:39" s="121" customFormat="1" ht="12" hidden="1" x14ac:dyDescent="0.2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493</v>
      </c>
      <c r="G1202" s="175" t="s">
        <v>494</v>
      </c>
      <c r="H1202" s="176" t="s">
        <v>495</v>
      </c>
      <c r="I1202" s="175" t="s">
        <v>1068</v>
      </c>
      <c r="J1202" s="176" t="s">
        <v>600</v>
      </c>
      <c r="K1202" s="175" t="s">
        <v>1102</v>
      </c>
      <c r="L1202" s="175" t="s">
        <v>496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7"/>
        <v>95610</v>
      </c>
      <c r="U1202" s="192">
        <f t="shared" si="298"/>
        <v>4003070</v>
      </c>
      <c r="V1202" s="192">
        <v>3698000</v>
      </c>
      <c r="W1202" s="192">
        <f t="shared" si="299"/>
        <v>305070</v>
      </c>
      <c r="X1202" s="192">
        <f t="shared" si="300"/>
        <v>296184.46601941745</v>
      </c>
      <c r="Y1202" s="192">
        <f t="shared" si="301"/>
        <v>8885.5339805825497</v>
      </c>
      <c r="Z1202" s="192">
        <v>749973.78</v>
      </c>
      <c r="AA1202" s="192">
        <f t="shared" si="302"/>
        <v>2948026.2199999997</v>
      </c>
      <c r="AB1202" s="192">
        <f t="shared" si="294"/>
        <v>728129.88349514559</v>
      </c>
      <c r="AC1202" s="192">
        <f t="shared" si="286"/>
        <v>21843.896504854434</v>
      </c>
      <c r="AD1202" s="192">
        <f t="shared" si="303"/>
        <v>476561.68361062638</v>
      </c>
      <c r="AE1202" s="192">
        <f t="shared" si="288"/>
        <v>564999.09844173247</v>
      </c>
      <c r="AF1202" s="184">
        <v>0.08</v>
      </c>
      <c r="AG1202" s="192">
        <f t="shared" si="295"/>
        <v>45199.927875338595</v>
      </c>
      <c r="AH1202" s="192">
        <f t="shared" si="296"/>
        <v>23356.031370484161</v>
      </c>
      <c r="AI1202" s="192"/>
      <c r="AJ1202" s="192"/>
      <c r="AK1202" s="203" t="s">
        <v>187</v>
      </c>
      <c r="AL1202" s="175" t="s">
        <v>1104</v>
      </c>
      <c r="AM1202" s="175"/>
    </row>
    <row r="1203" spans="1:39" s="121" customFormat="1" ht="12" hidden="1" x14ac:dyDescent="0.2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1082</v>
      </c>
      <c r="G1203" s="175" t="s">
        <v>1082</v>
      </c>
      <c r="H1203" s="175" t="s">
        <v>1082</v>
      </c>
      <c r="I1203" s="175" t="s">
        <v>1068</v>
      </c>
      <c r="J1203" s="176" t="s">
        <v>600</v>
      </c>
      <c r="K1203" s="175" t="s">
        <v>1102</v>
      </c>
      <c r="L1203" s="175" t="s">
        <v>1083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7"/>
        <v>800</v>
      </c>
      <c r="U1203" s="192">
        <f t="shared" si="298"/>
        <v>40800</v>
      </c>
      <c r="V1203" s="192">
        <v>51000</v>
      </c>
      <c r="W1203" s="192">
        <f t="shared" si="299"/>
        <v>-10200</v>
      </c>
      <c r="X1203" s="192">
        <f t="shared" si="300"/>
        <v>-10000</v>
      </c>
      <c r="Y1203" s="192">
        <f t="shared" si="301"/>
        <v>-200</v>
      </c>
      <c r="Z1203" s="192">
        <v>51000</v>
      </c>
      <c r="AA1203" s="192">
        <f t="shared" si="302"/>
        <v>0</v>
      </c>
      <c r="AB1203" s="192">
        <f t="shared" si="294"/>
        <v>50000</v>
      </c>
      <c r="AC1203" s="192">
        <f t="shared" si="286"/>
        <v>1000</v>
      </c>
      <c r="AD1203" s="192">
        <f t="shared" si="303"/>
        <v>32407.327445690094</v>
      </c>
      <c r="AE1203" s="192">
        <f t="shared" si="288"/>
        <v>38421.281902053102</v>
      </c>
      <c r="AF1203" s="184">
        <v>0.08</v>
      </c>
      <c r="AG1203" s="192">
        <f t="shared" si="295"/>
        <v>3073.7025521642481</v>
      </c>
      <c r="AH1203" s="192">
        <f t="shared" si="296"/>
        <v>2073.7025521642481</v>
      </c>
      <c r="AI1203" s="192"/>
      <c r="AJ1203" s="192"/>
      <c r="AK1203" s="203" t="s">
        <v>171</v>
      </c>
      <c r="AL1203" s="175" t="s">
        <v>1105</v>
      </c>
      <c r="AM1203" s="175"/>
    </row>
    <row r="1204" spans="1:39" s="121" customFormat="1" ht="12" hidden="1" x14ac:dyDescent="0.2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790</v>
      </c>
      <c r="H1204" s="175" t="s">
        <v>790</v>
      </c>
      <c r="I1204" s="175" t="s">
        <v>1068</v>
      </c>
      <c r="J1204" s="176" t="s">
        <v>600</v>
      </c>
      <c r="K1204" s="175" t="s">
        <v>1102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7"/>
        <v>200.16</v>
      </c>
      <c r="U1204" s="192">
        <f t="shared" si="298"/>
        <v>10208.16</v>
      </c>
      <c r="V1204" s="192">
        <v>10008</v>
      </c>
      <c r="W1204" s="192">
        <f t="shared" si="299"/>
        <v>200.15999999999985</v>
      </c>
      <c r="X1204" s="192">
        <f t="shared" si="300"/>
        <v>196.2352941176469</v>
      </c>
      <c r="Y1204" s="192">
        <f t="shared" si="301"/>
        <v>3.9247058823529528</v>
      </c>
      <c r="Z1204" s="192">
        <v>10008</v>
      </c>
      <c r="AA1204" s="192">
        <f t="shared" si="302"/>
        <v>0</v>
      </c>
      <c r="AB1204" s="192">
        <f t="shared" si="294"/>
        <v>9811.7647058823532</v>
      </c>
      <c r="AC1204" s="192">
        <f t="shared" si="286"/>
        <v>196.23529411764684</v>
      </c>
      <c r="AD1204" s="192">
        <f t="shared" si="303"/>
        <v>6359.4614328718917</v>
      </c>
      <c r="AE1204" s="192">
        <f t="shared" si="288"/>
        <v>7539.6115544264212</v>
      </c>
      <c r="AF1204" s="184">
        <v>0.08</v>
      </c>
      <c r="AG1204" s="192">
        <f t="shared" si="295"/>
        <v>603.16892435411376</v>
      </c>
      <c r="AH1204" s="192">
        <f t="shared" si="296"/>
        <v>406.93363023646691</v>
      </c>
      <c r="AI1204" s="192"/>
      <c r="AJ1204" s="192"/>
      <c r="AK1204" s="203" t="s">
        <v>171</v>
      </c>
      <c r="AL1204" s="175" t="s">
        <v>1104</v>
      </c>
      <c r="AM1204" s="175"/>
    </row>
    <row r="1205" spans="1:39" s="121" customFormat="1" ht="12" hidden="1" x14ac:dyDescent="0.2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891</v>
      </c>
      <c r="G1205" s="175" t="s">
        <v>891</v>
      </c>
      <c r="H1205" s="175" t="s">
        <v>891</v>
      </c>
      <c r="I1205" s="175" t="s">
        <v>1068</v>
      </c>
      <c r="J1205" s="176" t="s">
        <v>600</v>
      </c>
      <c r="K1205" s="175" t="s">
        <v>1102</v>
      </c>
      <c r="L1205" s="175" t="s">
        <v>891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7"/>
        <v>2000</v>
      </c>
      <c r="U1205" s="192">
        <f t="shared" si="298"/>
        <v>102000</v>
      </c>
      <c r="V1205" s="192">
        <v>102000</v>
      </c>
      <c r="W1205" s="192">
        <f t="shared" si="299"/>
        <v>0</v>
      </c>
      <c r="X1205" s="192">
        <f t="shared" si="300"/>
        <v>0</v>
      </c>
      <c r="Y1205" s="192">
        <f t="shared" si="301"/>
        <v>0</v>
      </c>
      <c r="Z1205" s="192">
        <v>102000</v>
      </c>
      <c r="AA1205" s="192">
        <f t="shared" si="302"/>
        <v>0</v>
      </c>
      <c r="AB1205" s="192">
        <f t="shared" si="294"/>
        <v>100000</v>
      </c>
      <c r="AC1205" s="192">
        <f t="shared" si="286"/>
        <v>2000</v>
      </c>
      <c r="AD1205" s="192">
        <f t="shared" si="303"/>
        <v>64814.654891380189</v>
      </c>
      <c r="AE1205" s="192">
        <f t="shared" si="288"/>
        <v>76842.563804106205</v>
      </c>
      <c r="AF1205" s="184">
        <v>0.08</v>
      </c>
      <c r="AG1205" s="192">
        <f t="shared" si="295"/>
        <v>6147.4051043284962</v>
      </c>
      <c r="AH1205" s="192">
        <f t="shared" si="296"/>
        <v>4147.4051043284962</v>
      </c>
      <c r="AI1205" s="192"/>
      <c r="AJ1205" s="192"/>
      <c r="AK1205" s="203" t="s">
        <v>1086</v>
      </c>
      <c r="AL1205" s="175" t="s">
        <v>1105</v>
      </c>
      <c r="AM1205" s="175"/>
    </row>
    <row r="1206" spans="1:39" s="121" customFormat="1" ht="12" hidden="1" x14ac:dyDescent="0.2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413</v>
      </c>
      <c r="G1206" s="175" t="s">
        <v>414</v>
      </c>
      <c r="H1206" s="175" t="s">
        <v>414</v>
      </c>
      <c r="I1206" s="175" t="s">
        <v>1068</v>
      </c>
      <c r="J1206" s="176" t="s">
        <v>600</v>
      </c>
      <c r="K1206" s="175" t="s">
        <v>1102</v>
      </c>
      <c r="L1206" s="175" t="s">
        <v>413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7"/>
        <v>200</v>
      </c>
      <c r="U1206" s="192">
        <f t="shared" si="298"/>
        <v>10200</v>
      </c>
      <c r="V1206" s="192">
        <v>0</v>
      </c>
      <c r="W1206" s="192">
        <f t="shared" si="299"/>
        <v>10200</v>
      </c>
      <c r="X1206" s="192">
        <f t="shared" si="300"/>
        <v>10000</v>
      </c>
      <c r="Y1206" s="192">
        <f t="shared" si="301"/>
        <v>200</v>
      </c>
      <c r="Z1206" s="192">
        <v>0</v>
      </c>
      <c r="AA1206" s="192">
        <f t="shared" si="302"/>
        <v>0</v>
      </c>
      <c r="AB1206" s="192">
        <f t="shared" si="294"/>
        <v>0</v>
      </c>
      <c r="AC1206" s="192">
        <f t="shared" si="286"/>
        <v>0</v>
      </c>
      <c r="AD1206" s="192">
        <f t="shared" si="303"/>
        <v>0</v>
      </c>
      <c r="AE1206" s="192">
        <f t="shared" si="288"/>
        <v>0</v>
      </c>
      <c r="AF1206" s="184">
        <v>0.08</v>
      </c>
      <c r="AG1206" s="192">
        <f t="shared" si="295"/>
        <v>0</v>
      </c>
      <c r="AH1206" s="192">
        <f t="shared" si="296"/>
        <v>0</v>
      </c>
      <c r="AI1206" s="192"/>
      <c r="AJ1206" s="192"/>
      <c r="AK1206" s="203" t="s">
        <v>171</v>
      </c>
      <c r="AL1206" s="175" t="s">
        <v>1104</v>
      </c>
      <c r="AM1206" s="175"/>
    </row>
    <row r="1207" spans="1:39" s="121" customFormat="1" ht="12" hidden="1" x14ac:dyDescent="0.2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1087</v>
      </c>
      <c r="G1207" s="175" t="s">
        <v>1088</v>
      </c>
      <c r="H1207" s="175" t="s">
        <v>1088</v>
      </c>
      <c r="I1207" s="175" t="s">
        <v>1068</v>
      </c>
      <c r="J1207" s="176" t="s">
        <v>600</v>
      </c>
      <c r="K1207" s="175" t="s">
        <v>1102</v>
      </c>
      <c r="L1207" s="175" t="s">
        <v>1087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7"/>
        <v>3600</v>
      </c>
      <c r="U1207" s="192">
        <f t="shared" si="298"/>
        <v>183600</v>
      </c>
      <c r="V1207" s="192">
        <v>183600</v>
      </c>
      <c r="W1207" s="192">
        <f t="shared" si="299"/>
        <v>0</v>
      </c>
      <c r="X1207" s="192">
        <f t="shared" si="300"/>
        <v>0</v>
      </c>
      <c r="Y1207" s="192">
        <f t="shared" si="301"/>
        <v>0</v>
      </c>
      <c r="Z1207" s="192">
        <v>53260.53</v>
      </c>
      <c r="AA1207" s="192">
        <f t="shared" si="302"/>
        <v>130339.47</v>
      </c>
      <c r="AB1207" s="192">
        <f t="shared" si="294"/>
        <v>52216.205882352937</v>
      </c>
      <c r="AC1207" s="192">
        <f t="shared" si="286"/>
        <v>1044.3241176470619</v>
      </c>
      <c r="AD1207" s="192">
        <f t="shared" si="303"/>
        <v>33843.753640019619</v>
      </c>
      <c r="AE1207" s="192">
        <f t="shared" si="288"/>
        <v>40124.271321230517</v>
      </c>
      <c r="AF1207" s="184">
        <v>0.08</v>
      </c>
      <c r="AG1207" s="192">
        <f t="shared" si="295"/>
        <v>3209.9417056984416</v>
      </c>
      <c r="AH1207" s="192">
        <f t="shared" si="296"/>
        <v>2165.6175880513797</v>
      </c>
      <c r="AI1207" s="192"/>
      <c r="AJ1207" s="192"/>
      <c r="AK1207" s="203" t="s">
        <v>171</v>
      </c>
      <c r="AL1207" s="175" t="s">
        <v>1104</v>
      </c>
      <c r="AM1207" s="175"/>
    </row>
    <row r="1208" spans="1:39" s="121" customFormat="1" ht="12" hidden="1" x14ac:dyDescent="0.2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475</v>
      </c>
      <c r="G1208" s="175" t="s">
        <v>475</v>
      </c>
      <c r="H1208" s="175" t="s">
        <v>475</v>
      </c>
      <c r="I1208" s="175" t="s">
        <v>1068</v>
      </c>
      <c r="J1208" s="176" t="s">
        <v>600</v>
      </c>
      <c r="K1208" s="175" t="s">
        <v>1102</v>
      </c>
      <c r="L1208" s="175" t="s">
        <v>475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7"/>
        <v>10000</v>
      </c>
      <c r="U1208" s="192">
        <f t="shared" si="298"/>
        <v>210000</v>
      </c>
      <c r="V1208" s="192">
        <v>204000</v>
      </c>
      <c r="W1208" s="192">
        <f t="shared" si="299"/>
        <v>6000</v>
      </c>
      <c r="X1208" s="192">
        <f t="shared" si="300"/>
        <v>5714.2857142857138</v>
      </c>
      <c r="Y1208" s="192">
        <f t="shared" si="301"/>
        <v>285.71428571428623</v>
      </c>
      <c r="Z1208" s="192">
        <v>206490.5</v>
      </c>
      <c r="AA1208" s="192">
        <f t="shared" si="302"/>
        <v>-2490.5</v>
      </c>
      <c r="AB1208" s="192">
        <f t="shared" si="294"/>
        <v>196657.61904761905</v>
      </c>
      <c r="AC1208" s="192">
        <f t="shared" si="286"/>
        <v>9832.8809523809468</v>
      </c>
      <c r="AD1208" s="192">
        <f t="shared" si="303"/>
        <v>131211.86760635825</v>
      </c>
      <c r="AE1208" s="192">
        <f t="shared" si="288"/>
        <v>155561.36687442934</v>
      </c>
      <c r="AF1208" s="184">
        <v>0.08</v>
      </c>
      <c r="AG1208" s="192">
        <f t="shared" si="295"/>
        <v>12444.909349954347</v>
      </c>
      <c r="AH1208" s="192">
        <f t="shared" si="296"/>
        <v>2612.0283975734001</v>
      </c>
      <c r="AI1208" s="192"/>
      <c r="AJ1208" s="192"/>
      <c r="AK1208" s="203" t="s">
        <v>62</v>
      </c>
      <c r="AL1208" s="175" t="s">
        <v>1104</v>
      </c>
      <c r="AM1208" s="175"/>
    </row>
    <row r="1209" spans="1:39" s="121" customFormat="1" ht="12" hidden="1" x14ac:dyDescent="0.2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1068</v>
      </c>
      <c r="J1209" s="176" t="s">
        <v>600</v>
      </c>
      <c r="K1209" s="175" t="s">
        <v>1102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7"/>
        <v>12800</v>
      </c>
      <c r="U1209" s="192">
        <f t="shared" si="298"/>
        <v>652800</v>
      </c>
      <c r="V1209" s="192">
        <v>652800</v>
      </c>
      <c r="W1209" s="192">
        <f t="shared" si="299"/>
        <v>0</v>
      </c>
      <c r="X1209" s="192">
        <f t="shared" si="300"/>
        <v>0</v>
      </c>
      <c r="Y1209" s="192">
        <f t="shared" si="301"/>
        <v>0</v>
      </c>
      <c r="Z1209" s="192">
        <v>1301143.8700000001</v>
      </c>
      <c r="AA1209" s="192">
        <f t="shared" si="302"/>
        <v>-648343.87000000011</v>
      </c>
      <c r="AB1209" s="192">
        <f t="shared" si="294"/>
        <v>1275631.2450980393</v>
      </c>
      <c r="AC1209" s="192">
        <f t="shared" si="286"/>
        <v>25512.624901960837</v>
      </c>
      <c r="AD1209" s="192">
        <f t="shared" si="303"/>
        <v>826795.98919691029</v>
      </c>
      <c r="AE1209" s="192">
        <f t="shared" si="288"/>
        <v>980227.7534195754</v>
      </c>
      <c r="AF1209" s="184">
        <v>0.08</v>
      </c>
      <c r="AG1209" s="192">
        <f t="shared" si="295"/>
        <v>78418.220273566039</v>
      </c>
      <c r="AH1209" s="192">
        <f t="shared" si="296"/>
        <v>52905.595371605203</v>
      </c>
      <c r="AI1209" s="192"/>
      <c r="AJ1209" s="192"/>
      <c r="AK1209" s="203" t="s">
        <v>171</v>
      </c>
      <c r="AL1209" s="175" t="s">
        <v>1104</v>
      </c>
      <c r="AM1209" s="175" t="s">
        <v>1081</v>
      </c>
    </row>
    <row r="1210" spans="1:39" s="121" customFormat="1" ht="12" hidden="1" x14ac:dyDescent="0.2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791</v>
      </c>
      <c r="G1210" s="175" t="s">
        <v>791</v>
      </c>
      <c r="H1210" s="175" t="s">
        <v>791</v>
      </c>
      <c r="I1210" s="175" t="s">
        <v>1068</v>
      </c>
      <c r="J1210" s="176" t="s">
        <v>600</v>
      </c>
      <c r="K1210" s="175" t="s">
        <v>1102</v>
      </c>
      <c r="L1210" s="175" t="s">
        <v>791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7"/>
        <v>1000</v>
      </c>
      <c r="U1210" s="192">
        <f t="shared" si="298"/>
        <v>73800</v>
      </c>
      <c r="V1210" s="192">
        <v>70000</v>
      </c>
      <c r="W1210" s="192">
        <f t="shared" si="299"/>
        <v>3800</v>
      </c>
      <c r="X1210" s="192">
        <f t="shared" si="300"/>
        <v>3725.4901960784314</v>
      </c>
      <c r="Y1210" s="192">
        <f t="shared" si="301"/>
        <v>74.509803921568619</v>
      </c>
      <c r="Z1210" s="192">
        <v>71500.600000000006</v>
      </c>
      <c r="AA1210" s="192">
        <f t="shared" si="302"/>
        <v>-1500.6000000000058</v>
      </c>
      <c r="AB1210" s="192">
        <f t="shared" si="294"/>
        <v>70098.627450980392</v>
      </c>
      <c r="AC1210" s="192">
        <f t="shared" si="286"/>
        <v>1401.9725490196142</v>
      </c>
      <c r="AD1210" s="192">
        <f t="shared" si="303"/>
        <v>45434.183465947244</v>
      </c>
      <c r="AE1210" s="192">
        <f t="shared" si="288"/>
        <v>53865.582524822326</v>
      </c>
      <c r="AF1210" s="184">
        <v>0.08</v>
      </c>
      <c r="AG1210" s="192">
        <f t="shared" si="295"/>
        <v>4309.2466019857866</v>
      </c>
      <c r="AH1210" s="192">
        <f t="shared" si="296"/>
        <v>2907.2740529661723</v>
      </c>
      <c r="AI1210" s="192"/>
      <c r="AJ1210" s="192"/>
      <c r="AK1210" s="203" t="s">
        <v>171</v>
      </c>
      <c r="AL1210" s="175" t="s">
        <v>1104</v>
      </c>
      <c r="AM1210" s="175"/>
    </row>
    <row r="1211" spans="1:39" s="121" customFormat="1" ht="12" hidden="1" x14ac:dyDescent="0.2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902</v>
      </c>
      <c r="G1211" s="175" t="s">
        <v>902</v>
      </c>
      <c r="H1211" s="175" t="s">
        <v>902</v>
      </c>
      <c r="I1211" s="175" t="s">
        <v>1068</v>
      </c>
      <c r="J1211" s="176" t="s">
        <v>600</v>
      </c>
      <c r="K1211" s="175" t="s">
        <v>1102</v>
      </c>
      <c r="L1211" s="175" t="s">
        <v>902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7"/>
        <v>1400</v>
      </c>
      <c r="U1211" s="192">
        <f t="shared" si="298"/>
        <v>91800</v>
      </c>
      <c r="V1211" s="192">
        <v>91800</v>
      </c>
      <c r="W1211" s="192">
        <f t="shared" si="299"/>
        <v>0</v>
      </c>
      <c r="X1211" s="192">
        <f t="shared" si="300"/>
        <v>0</v>
      </c>
      <c r="Y1211" s="192">
        <f t="shared" si="301"/>
        <v>0</v>
      </c>
      <c r="Z1211" s="192">
        <v>79918.94</v>
      </c>
      <c r="AA1211" s="192">
        <f t="shared" si="302"/>
        <v>11881.059999999998</v>
      </c>
      <c r="AB1211" s="192">
        <f t="shared" si="294"/>
        <v>78351.901960784307</v>
      </c>
      <c r="AC1211" s="192">
        <f t="shared" si="286"/>
        <v>1567.0380392156949</v>
      </c>
      <c r="AD1211" s="192">
        <f t="shared" si="303"/>
        <v>50783.514856714901</v>
      </c>
      <c r="AE1211" s="192">
        <f t="shared" si="288"/>
        <v>60207.610255946434</v>
      </c>
      <c r="AF1211" s="184">
        <v>0.08</v>
      </c>
      <c r="AG1211" s="192">
        <f t="shared" si="295"/>
        <v>4816.6088204757152</v>
      </c>
      <c r="AH1211" s="192">
        <f t="shared" si="296"/>
        <v>3249.5707812600203</v>
      </c>
      <c r="AI1211" s="192"/>
      <c r="AJ1211" s="192"/>
      <c r="AK1211" s="203" t="s">
        <v>1086</v>
      </c>
      <c r="AL1211" s="175" t="s">
        <v>1104</v>
      </c>
      <c r="AM1211" s="175" t="s">
        <v>1081</v>
      </c>
    </row>
    <row r="1212" spans="1:39" s="121" customFormat="1" ht="12" hidden="1" x14ac:dyDescent="0.2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415</v>
      </c>
      <c r="G1212" s="175" t="s">
        <v>416</v>
      </c>
      <c r="H1212" s="176" t="s">
        <v>417</v>
      </c>
      <c r="I1212" s="175" t="s">
        <v>1068</v>
      </c>
      <c r="J1212" s="176" t="s">
        <v>600</v>
      </c>
      <c r="K1212" s="175" t="s">
        <v>1102</v>
      </c>
      <c r="L1212" s="175" t="s">
        <v>415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7"/>
        <v>800</v>
      </c>
      <c r="U1212" s="192">
        <f t="shared" si="298"/>
        <v>40800</v>
      </c>
      <c r="V1212" s="192">
        <v>40800</v>
      </c>
      <c r="W1212" s="192">
        <f t="shared" si="299"/>
        <v>0</v>
      </c>
      <c r="X1212" s="192">
        <f t="shared" si="300"/>
        <v>0</v>
      </c>
      <c r="Y1212" s="192">
        <f t="shared" si="301"/>
        <v>0</v>
      </c>
      <c r="Z1212" s="192">
        <v>30181.89</v>
      </c>
      <c r="AA1212" s="192">
        <f t="shared" si="302"/>
        <v>10618.11</v>
      </c>
      <c r="AB1212" s="192">
        <f t="shared" si="294"/>
        <v>29590.088235294115</v>
      </c>
      <c r="AC1212" s="192">
        <f t="shared" si="286"/>
        <v>591.80176470588412</v>
      </c>
      <c r="AD1212" s="192">
        <f t="shared" si="303"/>
        <v>19178.713571760771</v>
      </c>
      <c r="AE1212" s="192">
        <f t="shared" si="288"/>
        <v>22737.782431897209</v>
      </c>
      <c r="AF1212" s="184">
        <v>0.08</v>
      </c>
      <c r="AG1212" s="192">
        <f t="shared" si="295"/>
        <v>1819.0225945517768</v>
      </c>
      <c r="AH1212" s="192">
        <f t="shared" si="296"/>
        <v>1227.2208298458927</v>
      </c>
      <c r="AI1212" s="192"/>
      <c r="AJ1212" s="192"/>
      <c r="AK1212" s="203" t="s">
        <v>171</v>
      </c>
      <c r="AL1212" s="175" t="s">
        <v>1104</v>
      </c>
      <c r="AM1212" s="175"/>
    </row>
    <row r="1213" spans="1:39" s="122" customFormat="1" hidden="1" x14ac:dyDescent="0.25">
      <c r="A1213" s="178">
        <v>2017</v>
      </c>
      <c r="B1213" s="178" t="s">
        <v>1106</v>
      </c>
      <c r="C1213" s="178"/>
      <c r="D1213" s="178"/>
      <c r="E1213" s="178"/>
      <c r="F1213" s="178" t="s">
        <v>1107</v>
      </c>
      <c r="G1213" s="178"/>
      <c r="H1213" s="178"/>
      <c r="I1213" s="175" t="s">
        <v>1068</v>
      </c>
      <c r="J1213" s="187" t="s">
        <v>566</v>
      </c>
      <c r="K1213" s="178" t="s">
        <v>1080</v>
      </c>
      <c r="L1213" s="178" t="s">
        <v>1107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7"/>
        <v>0</v>
      </c>
      <c r="U1213" s="194">
        <f t="shared" si="298"/>
        <v>0</v>
      </c>
      <c r="V1213" s="194">
        <v>0</v>
      </c>
      <c r="W1213" s="194">
        <f t="shared" si="299"/>
        <v>0</v>
      </c>
      <c r="X1213" s="194">
        <f t="shared" si="300"/>
        <v>0</v>
      </c>
      <c r="Y1213" s="194">
        <f t="shared" si="301"/>
        <v>0</v>
      </c>
      <c r="Z1213" s="194">
        <v>5095</v>
      </c>
      <c r="AA1213" s="194">
        <f t="shared" si="302"/>
        <v>0</v>
      </c>
      <c r="AB1213" s="194">
        <v>0</v>
      </c>
      <c r="AC1213" s="194">
        <v>0</v>
      </c>
      <c r="AD1213" s="194">
        <f t="shared" si="303"/>
        <v>3237.5555556037457</v>
      </c>
      <c r="AE1213" s="194">
        <f t="shared" si="288"/>
        <v>3838.3613978619719</v>
      </c>
      <c r="AF1213" s="188">
        <v>0.08</v>
      </c>
      <c r="AG1213" s="194">
        <f t="shared" si="295"/>
        <v>307.06891182895777</v>
      </c>
      <c r="AH1213" s="194">
        <f t="shared" si="296"/>
        <v>-4787.9310881710426</v>
      </c>
      <c r="AI1213" s="194"/>
      <c r="AJ1213" s="194"/>
      <c r="AK1213" s="178"/>
      <c r="AL1213" s="178" t="s">
        <v>1108</v>
      </c>
      <c r="AM1213" s="178"/>
    </row>
    <row r="1214" spans="1:39" s="122" customFormat="1" hidden="1" x14ac:dyDescent="0.25">
      <c r="A1214" s="178">
        <v>2017</v>
      </c>
      <c r="B1214" s="178" t="s">
        <v>1106</v>
      </c>
      <c r="C1214" s="178" t="s">
        <v>87</v>
      </c>
      <c r="D1214" s="178"/>
      <c r="E1214" s="178"/>
      <c r="F1214" s="178" t="s">
        <v>1109</v>
      </c>
      <c r="G1214" s="178"/>
      <c r="H1214" s="178"/>
      <c r="I1214" s="175" t="s">
        <v>1068</v>
      </c>
      <c r="J1214" s="187" t="s">
        <v>566</v>
      </c>
      <c r="K1214" s="178" t="s">
        <v>1080</v>
      </c>
      <c r="L1214" s="178" t="s">
        <v>1109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7"/>
        <v>0</v>
      </c>
      <c r="U1214" s="194">
        <f t="shared" si="298"/>
        <v>0</v>
      </c>
      <c r="V1214" s="194">
        <v>0</v>
      </c>
      <c r="W1214" s="194">
        <f t="shared" si="299"/>
        <v>0</v>
      </c>
      <c r="X1214" s="194">
        <f t="shared" si="300"/>
        <v>0</v>
      </c>
      <c r="Y1214" s="194">
        <f t="shared" si="301"/>
        <v>0</v>
      </c>
      <c r="Z1214" s="194">
        <v>59335.63</v>
      </c>
      <c r="AA1214" s="194">
        <f t="shared" si="302"/>
        <v>33863.879999999997</v>
      </c>
      <c r="AB1214" s="194">
        <v>0</v>
      </c>
      <c r="AC1214" s="194">
        <v>0</v>
      </c>
      <c r="AD1214" s="194">
        <f t="shared" si="303"/>
        <v>37704.101776594362</v>
      </c>
      <c r="AE1214" s="194">
        <f t="shared" si="288"/>
        <v>44700.999354233711</v>
      </c>
      <c r="AF1214" s="188">
        <v>0.08</v>
      </c>
      <c r="AG1214" s="194">
        <f t="shared" si="295"/>
        <v>3576.0799483386968</v>
      </c>
      <c r="AH1214" s="194">
        <f t="shared" si="296"/>
        <v>-55759.550051661303</v>
      </c>
      <c r="AI1214" s="194"/>
      <c r="AJ1214" s="194"/>
      <c r="AK1214" s="178"/>
      <c r="AL1214" s="178" t="s">
        <v>1108</v>
      </c>
      <c r="AM1214" s="178" t="s">
        <v>1081</v>
      </c>
    </row>
    <row r="1215" spans="1:39" s="122" customFormat="1" hidden="1" x14ac:dyDescent="0.25">
      <c r="A1215" s="178">
        <v>2017</v>
      </c>
      <c r="B1215" s="178" t="s">
        <v>1106</v>
      </c>
      <c r="C1215" s="178" t="s">
        <v>53</v>
      </c>
      <c r="D1215" s="178"/>
      <c r="E1215" s="178"/>
      <c r="F1215" s="178" t="s">
        <v>1008</v>
      </c>
      <c r="G1215" s="178"/>
      <c r="H1215" s="178"/>
      <c r="I1215" s="175" t="s">
        <v>1068</v>
      </c>
      <c r="J1215" s="187" t="s">
        <v>566</v>
      </c>
      <c r="K1215" s="178" t="s">
        <v>1080</v>
      </c>
      <c r="L1215" s="178" t="s">
        <v>1008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7"/>
        <v>0</v>
      </c>
      <c r="U1215" s="194">
        <f t="shared" si="298"/>
        <v>0</v>
      </c>
      <c r="V1215" s="194">
        <v>0</v>
      </c>
      <c r="W1215" s="194">
        <f t="shared" si="299"/>
        <v>0</v>
      </c>
      <c r="X1215" s="194">
        <f t="shared" si="300"/>
        <v>0</v>
      </c>
      <c r="Y1215" s="194">
        <f t="shared" si="301"/>
        <v>0</v>
      </c>
      <c r="Z1215" s="194">
        <v>313272.43</v>
      </c>
      <c r="AA1215" s="194">
        <f t="shared" si="302"/>
        <v>0</v>
      </c>
      <c r="AB1215" s="194">
        <v>0</v>
      </c>
      <c r="AC1215" s="194">
        <v>0</v>
      </c>
      <c r="AD1215" s="194">
        <f t="shared" si="303"/>
        <v>199065.14154347114</v>
      </c>
      <c r="AE1215" s="194">
        <f t="shared" si="288"/>
        <v>236006.43814061172</v>
      </c>
      <c r="AF1215" s="188">
        <v>0.08</v>
      </c>
      <c r="AG1215" s="194">
        <f t="shared" si="295"/>
        <v>18880.515051248938</v>
      </c>
      <c r="AH1215" s="194">
        <f t="shared" si="296"/>
        <v>-294391.91494875104</v>
      </c>
      <c r="AI1215" s="194"/>
      <c r="AJ1215" s="194"/>
      <c r="AK1215" s="178"/>
      <c r="AL1215" s="178" t="s">
        <v>1108</v>
      </c>
      <c r="AM1215" s="178" t="s">
        <v>1081</v>
      </c>
    </row>
    <row r="1216" spans="1:39" s="121" customFormat="1" hidden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1082</v>
      </c>
      <c r="G1216" s="177" t="s">
        <v>1082</v>
      </c>
      <c r="H1216" s="177" t="s">
        <v>1082</v>
      </c>
      <c r="I1216" s="175" t="s">
        <v>1068</v>
      </c>
      <c r="J1216" s="176" t="s">
        <v>600</v>
      </c>
      <c r="K1216" s="175" t="s">
        <v>1102</v>
      </c>
      <c r="L1216" s="175" t="s">
        <v>1085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7"/>
        <v>0</v>
      </c>
      <c r="U1216" s="192">
        <f t="shared" si="298"/>
        <v>0</v>
      </c>
      <c r="V1216" s="192">
        <v>0</v>
      </c>
      <c r="W1216" s="192">
        <f t="shared" si="299"/>
        <v>0</v>
      </c>
      <c r="X1216" s="192">
        <f t="shared" si="300"/>
        <v>0</v>
      </c>
      <c r="Y1216" s="192">
        <f t="shared" si="301"/>
        <v>0</v>
      </c>
      <c r="Z1216" s="192">
        <v>1279.32</v>
      </c>
      <c r="AA1216" s="192">
        <f t="shared" si="302"/>
        <v>-1279.32</v>
      </c>
      <c r="AB1216" s="192">
        <f t="shared" ref="AB1216:AB1279" si="304">IF(P1216="返货",Z1216/(1+N1216),IF(P1216="返现",Z1216,IF(P1216="折扣",Z1216*N1216,IF(P1216="无",Z1216))))</f>
        <v>1254.2352941176471</v>
      </c>
      <c r="AC1216" s="192">
        <f t="shared" ref="AC1216:AC1279" si="305">IF(P1216="返现",Z1216*N1216,Z1216-AB1216)</f>
        <v>25.084705882352864</v>
      </c>
      <c r="AD1216" s="192">
        <f t="shared" si="303"/>
        <v>812.92827740824021</v>
      </c>
      <c r="AE1216" s="192">
        <f t="shared" si="288"/>
        <v>963.78655613597209</v>
      </c>
      <c r="AF1216" s="184">
        <v>0.08</v>
      </c>
      <c r="AG1216" s="192">
        <f t="shared" si="295"/>
        <v>77.102924490877768</v>
      </c>
      <c r="AH1216" s="192">
        <f t="shared" si="296"/>
        <v>52.018218608524904</v>
      </c>
      <c r="AI1216" s="192"/>
      <c r="AJ1216" s="192"/>
      <c r="AK1216" s="175"/>
      <c r="AL1216" s="175" t="s">
        <v>1110</v>
      </c>
      <c r="AM1216" s="175"/>
    </row>
    <row r="1217" spans="1:39" s="121" customFormat="1" hidden="1" x14ac:dyDescent="0.2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808</v>
      </c>
      <c r="F1217" s="175" t="s">
        <v>200</v>
      </c>
      <c r="G1217" s="175" t="s">
        <v>201</v>
      </c>
      <c r="H1217" s="175" t="s">
        <v>201</v>
      </c>
      <c r="I1217" s="175" t="s">
        <v>1068</v>
      </c>
      <c r="J1217" s="176" t="s">
        <v>600</v>
      </c>
      <c r="K1217" s="175" t="s">
        <v>1102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7"/>
        <v>0</v>
      </c>
      <c r="U1217" s="192">
        <f t="shared" si="298"/>
        <v>0</v>
      </c>
      <c r="V1217" s="192">
        <v>0</v>
      </c>
      <c r="W1217" s="192">
        <f t="shared" si="299"/>
        <v>0</v>
      </c>
      <c r="X1217" s="192">
        <f t="shared" si="300"/>
        <v>0</v>
      </c>
      <c r="Y1217" s="192">
        <f t="shared" si="301"/>
        <v>0</v>
      </c>
      <c r="Z1217" s="192">
        <v>100000</v>
      </c>
      <c r="AA1217" s="192">
        <f t="shared" si="302"/>
        <v>-100000</v>
      </c>
      <c r="AB1217" s="192">
        <f t="shared" si="304"/>
        <v>95238.095238095237</v>
      </c>
      <c r="AC1217" s="192">
        <f t="shared" si="305"/>
        <v>4761.9047619047633</v>
      </c>
      <c r="AD1217" s="192">
        <f t="shared" si="303"/>
        <v>63543.779305274693</v>
      </c>
      <c r="AE1217" s="192">
        <f t="shared" si="288"/>
        <v>75335.846866770793</v>
      </c>
      <c r="AF1217" s="184">
        <v>0.08</v>
      </c>
      <c r="AG1217" s="192">
        <f t="shared" si="295"/>
        <v>6026.8677493416635</v>
      </c>
      <c r="AH1217" s="192">
        <f t="shared" si="296"/>
        <v>1264.9629874369002</v>
      </c>
      <c r="AI1217" s="192"/>
      <c r="AJ1217" s="192"/>
      <c r="AK1217" s="175"/>
      <c r="AL1217" s="175" t="s">
        <v>1110</v>
      </c>
      <c r="AM1217" s="175"/>
    </row>
    <row r="1218" spans="1:39" s="121" customFormat="1" hidden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598</v>
      </c>
      <c r="G1218" s="177" t="s">
        <v>599</v>
      </c>
      <c r="H1218" s="177" t="s">
        <v>599</v>
      </c>
      <c r="I1218" s="175" t="s">
        <v>1068</v>
      </c>
      <c r="J1218" s="176" t="s">
        <v>600</v>
      </c>
      <c r="K1218" s="175" t="s">
        <v>1102</v>
      </c>
      <c r="L1218" s="175" t="s">
        <v>1111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7"/>
        <v>0</v>
      </c>
      <c r="U1218" s="192">
        <f t="shared" si="298"/>
        <v>0</v>
      </c>
      <c r="V1218" s="192">
        <v>0</v>
      </c>
      <c r="W1218" s="192">
        <f t="shared" si="299"/>
        <v>0</v>
      </c>
      <c r="X1218" s="192">
        <f t="shared" si="300"/>
        <v>0</v>
      </c>
      <c r="Y1218" s="192">
        <f t="shared" si="301"/>
        <v>0</v>
      </c>
      <c r="Z1218" s="192">
        <v>117131.45</v>
      </c>
      <c r="AA1218" s="192">
        <f t="shared" si="302"/>
        <v>-117131.45</v>
      </c>
      <c r="AB1218" s="192">
        <f t="shared" si="304"/>
        <v>117131.45</v>
      </c>
      <c r="AC1218" s="192">
        <f t="shared" si="305"/>
        <v>0</v>
      </c>
      <c r="AD1218" s="192">
        <f t="shared" si="303"/>
        <v>74429.750085068168</v>
      </c>
      <c r="AE1218" s="192">
        <f t="shared" si="288"/>
        <v>88241.969804828201</v>
      </c>
      <c r="AF1218" s="184">
        <v>0.08</v>
      </c>
      <c r="AG1218" s="192">
        <f t="shared" si="295"/>
        <v>7059.3575843862563</v>
      </c>
      <c r="AH1218" s="192">
        <f t="shared" si="296"/>
        <v>7059.3575843862563</v>
      </c>
      <c r="AI1218" s="192"/>
      <c r="AJ1218" s="192"/>
      <c r="AK1218" s="175"/>
      <c r="AL1218" s="175" t="s">
        <v>1110</v>
      </c>
      <c r="AM1218" s="175"/>
    </row>
    <row r="1219" spans="1:39" s="121" customFormat="1" hidden="1" x14ac:dyDescent="0.2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1068</v>
      </c>
      <c r="J1219" s="176" t="s">
        <v>600</v>
      </c>
      <c r="K1219" s="175" t="s">
        <v>1102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7"/>
        <v>0</v>
      </c>
      <c r="U1219" s="192">
        <f t="shared" si="298"/>
        <v>0</v>
      </c>
      <c r="V1219" s="192">
        <v>102000</v>
      </c>
      <c r="W1219" s="192">
        <f t="shared" si="299"/>
        <v>-102000</v>
      </c>
      <c r="X1219" s="192">
        <f t="shared" si="300"/>
        <v>-100000</v>
      </c>
      <c r="Y1219" s="192">
        <f t="shared" si="301"/>
        <v>-2000</v>
      </c>
      <c r="Z1219" s="192">
        <v>150321.45000000001</v>
      </c>
      <c r="AA1219" s="192">
        <f t="shared" si="302"/>
        <v>-48321.450000000012</v>
      </c>
      <c r="AB1219" s="192">
        <f t="shared" si="304"/>
        <v>147373.9705882353</v>
      </c>
      <c r="AC1219" s="192">
        <f t="shared" si="305"/>
        <v>2947.4794117647107</v>
      </c>
      <c r="AD1219" s="192">
        <f t="shared" si="303"/>
        <v>95519.930436488852</v>
      </c>
      <c r="AE1219" s="192">
        <f t="shared" si="288"/>
        <v>113245.93737990943</v>
      </c>
      <c r="AF1219" s="184">
        <v>0.08</v>
      </c>
      <c r="AG1219" s="192">
        <f t="shared" si="295"/>
        <v>9059.6749903927539</v>
      </c>
      <c r="AH1219" s="192">
        <f t="shared" si="296"/>
        <v>6112.1955786280432</v>
      </c>
      <c r="AI1219" s="192"/>
      <c r="AJ1219" s="192"/>
      <c r="AK1219" s="175"/>
      <c r="AL1219" s="175" t="s">
        <v>1110</v>
      </c>
      <c r="AM1219" s="175"/>
    </row>
    <row r="1220" spans="1:39" s="121" customFormat="1" hidden="1" x14ac:dyDescent="0.2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903</v>
      </c>
      <c r="G1220" s="175" t="s">
        <v>903</v>
      </c>
      <c r="H1220" s="175" t="s">
        <v>903</v>
      </c>
      <c r="I1220" s="175" t="s">
        <v>1068</v>
      </c>
      <c r="J1220" s="176" t="s">
        <v>600</v>
      </c>
      <c r="K1220" s="175" t="s">
        <v>1102</v>
      </c>
      <c r="L1220" s="175" t="s">
        <v>903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7"/>
        <v>0</v>
      </c>
      <c r="U1220" s="192">
        <f t="shared" si="298"/>
        <v>0</v>
      </c>
      <c r="V1220" s="192">
        <v>0</v>
      </c>
      <c r="W1220" s="192">
        <f t="shared" si="299"/>
        <v>0</v>
      </c>
      <c r="X1220" s="192">
        <f t="shared" si="300"/>
        <v>0</v>
      </c>
      <c r="Y1220" s="192">
        <f t="shared" si="301"/>
        <v>0</v>
      </c>
      <c r="Z1220" s="192">
        <v>2595.11</v>
      </c>
      <c r="AA1220" s="192">
        <f t="shared" si="302"/>
        <v>-2595.11</v>
      </c>
      <c r="AB1220" s="192">
        <f t="shared" si="304"/>
        <v>2544.2254901960787</v>
      </c>
      <c r="AC1220" s="192">
        <f t="shared" si="305"/>
        <v>50.884509803921446</v>
      </c>
      <c r="AD1220" s="192">
        <f t="shared" si="303"/>
        <v>1649.0309711291143</v>
      </c>
      <c r="AE1220" s="192">
        <f t="shared" si="288"/>
        <v>1955.0480956242557</v>
      </c>
      <c r="AF1220" s="184">
        <v>0.08</v>
      </c>
      <c r="AG1220" s="192">
        <f t="shared" si="295"/>
        <v>156.40384764994045</v>
      </c>
      <c r="AH1220" s="192">
        <f t="shared" si="296"/>
        <v>105.519337846019</v>
      </c>
      <c r="AI1220" s="192"/>
      <c r="AJ1220" s="192"/>
      <c r="AK1220" s="175"/>
      <c r="AL1220" s="175" t="s">
        <v>1110</v>
      </c>
      <c r="AM1220" s="175"/>
    </row>
    <row r="1221" spans="1:39" s="121" customFormat="1" hidden="1" x14ac:dyDescent="0.2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1094</v>
      </c>
      <c r="G1221" s="175" t="s">
        <v>1094</v>
      </c>
      <c r="H1221" s="175" t="s">
        <v>1094</v>
      </c>
      <c r="I1221" s="175" t="s">
        <v>1068</v>
      </c>
      <c r="J1221" s="176" t="s">
        <v>600</v>
      </c>
      <c r="K1221" s="175" t="s">
        <v>1102</v>
      </c>
      <c r="L1221" s="175" t="s">
        <v>1094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7"/>
        <v>0</v>
      </c>
      <c r="U1221" s="192">
        <f t="shared" si="298"/>
        <v>0</v>
      </c>
      <c r="V1221" s="192">
        <v>0</v>
      </c>
      <c r="W1221" s="192">
        <f t="shared" si="299"/>
        <v>0</v>
      </c>
      <c r="X1221" s="192">
        <f t="shared" si="300"/>
        <v>0</v>
      </c>
      <c r="Y1221" s="192">
        <f t="shared" si="301"/>
        <v>0</v>
      </c>
      <c r="Z1221" s="192">
        <v>32578.6</v>
      </c>
      <c r="AA1221" s="192">
        <f t="shared" si="302"/>
        <v>-32578.6</v>
      </c>
      <c r="AB1221" s="192">
        <f t="shared" si="304"/>
        <v>31939.803921568626</v>
      </c>
      <c r="AC1221" s="192">
        <f t="shared" si="305"/>
        <v>638.79607843137273</v>
      </c>
      <c r="AD1221" s="192">
        <f t="shared" si="303"/>
        <v>20701.673684748221</v>
      </c>
      <c r="AE1221" s="192">
        <f t="shared" si="288"/>
        <v>24543.364207337789</v>
      </c>
      <c r="AF1221" s="184">
        <v>0.08</v>
      </c>
      <c r="AG1221" s="192">
        <f t="shared" si="295"/>
        <v>1963.4691365870231</v>
      </c>
      <c r="AH1221" s="192">
        <f t="shared" si="296"/>
        <v>1324.6730581556503</v>
      </c>
      <c r="AI1221" s="192"/>
      <c r="AJ1221" s="192"/>
      <c r="AK1221" s="175"/>
      <c r="AL1221" s="175" t="s">
        <v>1110</v>
      </c>
      <c r="AM1221" s="175"/>
    </row>
    <row r="1222" spans="1:39" s="121" customFormat="1" ht="12" hidden="1" x14ac:dyDescent="0.2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493</v>
      </c>
      <c r="G1222" s="175" t="s">
        <v>494</v>
      </c>
      <c r="H1222" s="176" t="s">
        <v>495</v>
      </c>
      <c r="I1222" s="175" t="s">
        <v>1068</v>
      </c>
      <c r="J1222" s="176" t="s">
        <v>600</v>
      </c>
      <c r="K1222" s="175" t="s">
        <v>1102</v>
      </c>
      <c r="L1222" s="175" t="s">
        <v>496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8"/>
        <v>0</v>
      </c>
      <c r="V1222" s="192">
        <v>0</v>
      </c>
      <c r="W1222" s="192">
        <f t="shared" si="299"/>
        <v>0</v>
      </c>
      <c r="X1222" s="192">
        <f t="shared" si="300"/>
        <v>0</v>
      </c>
      <c r="Y1222" s="192">
        <f t="shared" si="301"/>
        <v>0</v>
      </c>
      <c r="Z1222" s="192">
        <v>50000</v>
      </c>
      <c r="AA1222" s="192">
        <f t="shared" si="302"/>
        <v>-50000</v>
      </c>
      <c r="AB1222" s="192">
        <f t="shared" si="304"/>
        <v>48543.689320388345</v>
      </c>
      <c r="AC1222" s="192">
        <f t="shared" si="305"/>
        <v>1456.3106796116554</v>
      </c>
      <c r="AD1222" s="192">
        <f t="shared" si="303"/>
        <v>31771.889652637346</v>
      </c>
      <c r="AE1222" s="192">
        <f t="shared" si="288"/>
        <v>37667.923433385396</v>
      </c>
      <c r="AF1222" s="184">
        <v>0.08</v>
      </c>
      <c r="AG1222" s="192">
        <f t="shared" si="295"/>
        <v>3013.4338746708318</v>
      </c>
      <c r="AH1222" s="192">
        <f t="shared" si="296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hidden="1" x14ac:dyDescent="0.2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1068</v>
      </c>
      <c r="J1223" s="176" t="s">
        <v>600</v>
      </c>
      <c r="K1223" s="175" t="s">
        <v>1102</v>
      </c>
      <c r="L1223" s="175" t="s">
        <v>1112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4"/>
        <v>448.50980392156862</v>
      </c>
      <c r="AC1223" s="192">
        <f t="shared" si="305"/>
        <v>8.9701960784313997</v>
      </c>
      <c r="AD1223" s="192">
        <f t="shared" si="303"/>
        <v>290.70008156577069</v>
      </c>
      <c r="AF1223" s="184">
        <v>0.08</v>
      </c>
      <c r="AL1223" s="175" t="s">
        <v>1113</v>
      </c>
    </row>
    <row r="1224" spans="1:39" s="123" customFormat="1" ht="13" hidden="1" x14ac:dyDescent="0.35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1114</v>
      </c>
      <c r="J1224" s="119" t="s">
        <v>1115</v>
      </c>
      <c r="K1224" s="123" t="s">
        <v>1115</v>
      </c>
      <c r="L1224" s="123" t="s">
        <v>41</v>
      </c>
      <c r="M1224" s="204" t="s">
        <v>45</v>
      </c>
      <c r="N1224" s="184">
        <v>0</v>
      </c>
      <c r="O1224" s="184" t="s">
        <v>1103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6">S1224*N1224</f>
        <v>0</v>
      </c>
      <c r="U1224" s="204">
        <f t="shared" ref="U1224:U1272" si="307">S1224+T1224+R1224</f>
        <v>10000</v>
      </c>
      <c r="V1224" s="204">
        <v>9000</v>
      </c>
      <c r="W1224" s="204">
        <f t="shared" ref="W1224:W1272" si="308">U1224-V1224</f>
        <v>1000</v>
      </c>
      <c r="X1224" s="205">
        <f t="shared" ref="X1224:X1272" si="309">W1224/(1+N1224)</f>
        <v>1000</v>
      </c>
      <c r="Y1224" s="205">
        <f t="shared" ref="Y1224:Y1272" si="310">W1224-X1224</f>
        <v>0</v>
      </c>
      <c r="Z1224" s="207">
        <f t="shared" ref="Z1224:Z1233" si="311">AD1224/90%</f>
        <v>10000</v>
      </c>
      <c r="AA1224" s="204">
        <f t="shared" ref="AA1224:AA1229" si="312">Q1224+V1224-Z1224</f>
        <v>-1000</v>
      </c>
      <c r="AB1224" s="208">
        <f t="shared" si="304"/>
        <v>10000</v>
      </c>
      <c r="AC1224" s="209">
        <f t="shared" si="305"/>
        <v>0</v>
      </c>
      <c r="AD1224" s="207">
        <v>9000</v>
      </c>
      <c r="AE1224" s="135">
        <v>0</v>
      </c>
      <c r="AF1224" s="205">
        <f t="shared" ref="AF1224:AF1287" si="313">AD1224*AE1224</f>
        <v>0</v>
      </c>
      <c r="AG1224" s="205">
        <f t="shared" ref="AG1224:AG1229" si="314">AB1224-Z1224+AF1224</f>
        <v>0</v>
      </c>
      <c r="AH1224" s="205"/>
      <c r="AI1224" s="205"/>
      <c r="AJ1224" s="123" t="s">
        <v>1103</v>
      </c>
    </row>
    <row r="1225" spans="1:39" s="123" customFormat="1" ht="13" hidden="1" x14ac:dyDescent="0.35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484</v>
      </c>
      <c r="G1225" s="123" t="s">
        <v>484</v>
      </c>
      <c r="H1225" s="123" t="s">
        <v>484</v>
      </c>
      <c r="I1225" s="119" t="s">
        <v>1114</v>
      </c>
      <c r="J1225" s="119" t="s">
        <v>1115</v>
      </c>
      <c r="K1225" s="123" t="s">
        <v>1115</v>
      </c>
      <c r="L1225" s="123" t="s">
        <v>484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6"/>
        <v>0</v>
      </c>
      <c r="U1225" s="204">
        <f t="shared" si="307"/>
        <v>120000</v>
      </c>
      <c r="V1225" s="204">
        <v>120000</v>
      </c>
      <c r="W1225" s="204">
        <f t="shared" si="308"/>
        <v>0</v>
      </c>
      <c r="X1225" s="205">
        <f t="shared" si="309"/>
        <v>0</v>
      </c>
      <c r="Y1225" s="205">
        <f t="shared" si="310"/>
        <v>0</v>
      </c>
      <c r="Z1225" s="207">
        <f t="shared" si="311"/>
        <v>108065.99999999999</v>
      </c>
      <c r="AA1225" s="204">
        <f t="shared" si="312"/>
        <v>11934.000000000015</v>
      </c>
      <c r="AB1225" s="208">
        <f t="shared" si="304"/>
        <v>108065.99999999999</v>
      </c>
      <c r="AC1225" s="209">
        <f t="shared" si="305"/>
        <v>0</v>
      </c>
      <c r="AD1225" s="207">
        <v>97259.4</v>
      </c>
      <c r="AE1225" s="135">
        <v>0</v>
      </c>
      <c r="AF1225" s="205">
        <f t="shared" si="313"/>
        <v>0</v>
      </c>
      <c r="AG1225" s="205">
        <f t="shared" si="314"/>
        <v>0</v>
      </c>
      <c r="AH1225" s="205"/>
      <c r="AI1225" s="205"/>
      <c r="AJ1225" s="123" t="s">
        <v>46</v>
      </c>
    </row>
    <row r="1226" spans="1:39" s="123" customFormat="1" ht="13" hidden="1" x14ac:dyDescent="0.35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1114</v>
      </c>
      <c r="J1226" s="119" t="s">
        <v>1115</v>
      </c>
      <c r="K1226" s="123" t="s">
        <v>1115</v>
      </c>
      <c r="L1226" s="123" t="s">
        <v>303</v>
      </c>
      <c r="M1226" s="204" t="s">
        <v>45</v>
      </c>
      <c r="N1226" s="184">
        <v>0</v>
      </c>
      <c r="O1226" s="184" t="s">
        <v>1116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6"/>
        <v>0</v>
      </c>
      <c r="U1226" s="204">
        <f t="shared" si="307"/>
        <v>20000</v>
      </c>
      <c r="V1226" s="204">
        <v>18000</v>
      </c>
      <c r="W1226" s="204">
        <f t="shared" si="308"/>
        <v>2000</v>
      </c>
      <c r="X1226" s="205">
        <f t="shared" si="309"/>
        <v>2000</v>
      </c>
      <c r="Y1226" s="205">
        <f t="shared" si="310"/>
        <v>0</v>
      </c>
      <c r="Z1226" s="207">
        <f t="shared" si="311"/>
        <v>15220</v>
      </c>
      <c r="AA1226" s="204">
        <f t="shared" si="312"/>
        <v>2780</v>
      </c>
      <c r="AB1226" s="208">
        <f t="shared" si="304"/>
        <v>15220</v>
      </c>
      <c r="AC1226" s="209">
        <f t="shared" si="305"/>
        <v>0</v>
      </c>
      <c r="AD1226" s="207">
        <v>13698</v>
      </c>
      <c r="AE1226" s="135">
        <v>0</v>
      </c>
      <c r="AF1226" s="205">
        <f t="shared" si="313"/>
        <v>0</v>
      </c>
      <c r="AG1226" s="205">
        <f t="shared" si="314"/>
        <v>0</v>
      </c>
      <c r="AH1226" s="205"/>
      <c r="AI1226" s="205"/>
      <c r="AJ1226" s="123" t="s">
        <v>1116</v>
      </c>
    </row>
    <row r="1227" spans="1:39" s="123" customFormat="1" ht="13" hidden="1" x14ac:dyDescent="0.35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1114</v>
      </c>
      <c r="J1227" s="119" t="s">
        <v>1115</v>
      </c>
      <c r="K1227" s="123" t="s">
        <v>1115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6"/>
        <v>0</v>
      </c>
      <c r="U1227" s="204">
        <f t="shared" si="307"/>
        <v>60000</v>
      </c>
      <c r="V1227" s="204">
        <v>60000</v>
      </c>
      <c r="W1227" s="204">
        <f t="shared" si="308"/>
        <v>0</v>
      </c>
      <c r="X1227" s="205">
        <f t="shared" si="309"/>
        <v>0</v>
      </c>
      <c r="Y1227" s="205">
        <f t="shared" si="310"/>
        <v>0</v>
      </c>
      <c r="Z1227" s="207">
        <f t="shared" si="311"/>
        <v>58072</v>
      </c>
      <c r="AA1227" s="204">
        <f t="shared" si="312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5"/>
        <v>-1928</v>
      </c>
      <c r="AD1227" s="205">
        <v>52264.800000000003</v>
      </c>
      <c r="AE1227" s="135">
        <v>0</v>
      </c>
      <c r="AF1227" s="205">
        <f t="shared" si="313"/>
        <v>0</v>
      </c>
      <c r="AG1227" s="205">
        <f t="shared" si="314"/>
        <v>1928</v>
      </c>
      <c r="AH1227" s="205"/>
      <c r="AI1227" s="205"/>
      <c r="AJ1227" s="123" t="s">
        <v>46</v>
      </c>
    </row>
    <row r="1228" spans="1:39" s="123" customFormat="1" ht="13" hidden="1" x14ac:dyDescent="0.35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1114</v>
      </c>
      <c r="J1228" s="119" t="s">
        <v>1115</v>
      </c>
      <c r="K1228" s="123" t="s">
        <v>1115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6"/>
        <v>0</v>
      </c>
      <c r="U1228" s="204">
        <f t="shared" si="307"/>
        <v>10000</v>
      </c>
      <c r="V1228" s="204">
        <v>9000</v>
      </c>
      <c r="W1228" s="204">
        <f t="shared" si="308"/>
        <v>1000</v>
      </c>
      <c r="X1228" s="205">
        <f t="shared" si="309"/>
        <v>1000</v>
      </c>
      <c r="Y1228" s="205">
        <f t="shared" si="310"/>
        <v>0</v>
      </c>
      <c r="Z1228" s="207">
        <f t="shared" si="311"/>
        <v>10000</v>
      </c>
      <c r="AA1228" s="204">
        <f t="shared" si="312"/>
        <v>-1000</v>
      </c>
      <c r="AB1228" s="208">
        <f t="shared" si="304"/>
        <v>10000</v>
      </c>
      <c r="AC1228" s="209">
        <f t="shared" si="305"/>
        <v>0</v>
      </c>
      <c r="AD1228" s="207">
        <v>9000</v>
      </c>
      <c r="AE1228" s="135">
        <v>0</v>
      </c>
      <c r="AF1228" s="205">
        <f t="shared" si="313"/>
        <v>0</v>
      </c>
      <c r="AG1228" s="205">
        <f t="shared" si="314"/>
        <v>0</v>
      </c>
      <c r="AH1228" s="205"/>
      <c r="AI1228" s="205"/>
      <c r="AJ1228" s="123" t="s">
        <v>46</v>
      </c>
    </row>
    <row r="1229" spans="1:39" s="123" customFormat="1" ht="13" hidden="1" x14ac:dyDescent="0.35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1114</v>
      </c>
      <c r="J1229" s="119" t="s">
        <v>1115</v>
      </c>
      <c r="K1229" s="123" t="s">
        <v>1115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6"/>
        <v>0</v>
      </c>
      <c r="U1229" s="204">
        <f t="shared" si="307"/>
        <v>20000</v>
      </c>
      <c r="V1229" s="204">
        <v>18000</v>
      </c>
      <c r="W1229" s="204">
        <f t="shared" si="308"/>
        <v>2000</v>
      </c>
      <c r="X1229" s="205">
        <f t="shared" si="309"/>
        <v>2000</v>
      </c>
      <c r="Y1229" s="205">
        <f t="shared" si="310"/>
        <v>0</v>
      </c>
      <c r="Z1229" s="207">
        <f t="shared" si="311"/>
        <v>14011.999999999998</v>
      </c>
      <c r="AA1229" s="204">
        <f t="shared" si="312"/>
        <v>3988.0000000000018</v>
      </c>
      <c r="AB1229" s="208">
        <f t="shared" si="304"/>
        <v>14011.999999999998</v>
      </c>
      <c r="AC1229" s="209">
        <f t="shared" si="305"/>
        <v>0</v>
      </c>
      <c r="AD1229" s="205">
        <v>12610.8</v>
      </c>
      <c r="AE1229" s="135">
        <v>0</v>
      </c>
      <c r="AF1229" s="205">
        <f t="shared" si="313"/>
        <v>0</v>
      </c>
      <c r="AG1229" s="205">
        <f t="shared" si="314"/>
        <v>0</v>
      </c>
      <c r="AH1229" s="205"/>
      <c r="AI1229" s="205"/>
      <c r="AJ1229" s="123" t="s">
        <v>46</v>
      </c>
    </row>
    <row r="1230" spans="1:39" s="123" customFormat="1" ht="13" hidden="1" x14ac:dyDescent="0.35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486</v>
      </c>
      <c r="G1230" s="123" t="s">
        <v>486</v>
      </c>
      <c r="H1230" s="123" t="s">
        <v>486</v>
      </c>
      <c r="I1230" s="119" t="s">
        <v>1114</v>
      </c>
      <c r="J1230" s="119" t="s">
        <v>1115</v>
      </c>
      <c r="K1230" s="123" t="s">
        <v>1115</v>
      </c>
      <c r="L1230" s="123" t="s">
        <v>486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6"/>
        <v>14886.31</v>
      </c>
      <c r="U1230" s="204">
        <f t="shared" si="307"/>
        <v>30556.11</v>
      </c>
      <c r="V1230" s="204">
        <v>15003</v>
      </c>
      <c r="W1230" s="204">
        <f t="shared" si="308"/>
        <v>15553.11</v>
      </c>
      <c r="X1230" s="205">
        <f t="shared" si="309"/>
        <v>7975.9538461538468</v>
      </c>
      <c r="Y1230" s="205">
        <f t="shared" si="310"/>
        <v>7577.1561538461538</v>
      </c>
      <c r="Z1230" s="207">
        <f t="shared" si="311"/>
        <v>0</v>
      </c>
      <c r="AA1230" s="204">
        <f>Q1230+V1230-AD1230</f>
        <v>15003</v>
      </c>
      <c r="AB1230" s="208">
        <f t="shared" si="304"/>
        <v>0</v>
      </c>
      <c r="AC1230" s="209">
        <f t="shared" si="305"/>
        <v>0</v>
      </c>
      <c r="AD1230" s="207">
        <v>0</v>
      </c>
      <c r="AE1230" s="135">
        <v>0</v>
      </c>
      <c r="AF1230" s="205">
        <f t="shared" si="313"/>
        <v>0</v>
      </c>
      <c r="AG1230" s="205">
        <f>AB1230-AD1230+AF1230</f>
        <v>0</v>
      </c>
      <c r="AH1230" s="205"/>
      <c r="AI1230" s="205"/>
      <c r="AJ1230" s="123" t="s">
        <v>1117</v>
      </c>
    </row>
    <row r="1231" spans="1:39" s="123" customFormat="1" ht="13" hidden="1" x14ac:dyDescent="0.35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1118</v>
      </c>
      <c r="G1231" s="123" t="s">
        <v>1118</v>
      </c>
      <c r="H1231" s="123" t="s">
        <v>1118</v>
      </c>
      <c r="I1231" s="119" t="s">
        <v>1114</v>
      </c>
      <c r="J1231" s="119" t="s">
        <v>1115</v>
      </c>
      <c r="K1231" s="123" t="s">
        <v>1115</v>
      </c>
      <c r="L1231" s="123" t="s">
        <v>1118</v>
      </c>
      <c r="M1231" s="204" t="s">
        <v>45</v>
      </c>
      <c r="N1231" s="183">
        <v>0.98</v>
      </c>
      <c r="O1231" s="184" t="s">
        <v>1119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6"/>
        <v>9604</v>
      </c>
      <c r="U1231" s="204">
        <f t="shared" si="307"/>
        <v>19404</v>
      </c>
      <c r="V1231" s="204">
        <v>9000</v>
      </c>
      <c r="W1231" s="204">
        <f t="shared" si="308"/>
        <v>10404</v>
      </c>
      <c r="X1231" s="205">
        <f t="shared" si="309"/>
        <v>5254.545454545455</v>
      </c>
      <c r="Y1231" s="205">
        <f t="shared" si="310"/>
        <v>5149.454545454545</v>
      </c>
      <c r="Z1231" s="207">
        <f t="shared" si="311"/>
        <v>10000</v>
      </c>
      <c r="AA1231" s="204">
        <v>9000</v>
      </c>
      <c r="AB1231" s="208">
        <f t="shared" si="304"/>
        <v>9800</v>
      </c>
      <c r="AC1231" s="209">
        <f t="shared" si="305"/>
        <v>200</v>
      </c>
      <c r="AD1231" s="205">
        <v>9000</v>
      </c>
      <c r="AE1231" s="135">
        <v>0</v>
      </c>
      <c r="AF1231" s="205">
        <f t="shared" si="313"/>
        <v>0</v>
      </c>
      <c r="AG1231" s="205">
        <f t="shared" ref="AG1231:AG1239" si="315">AB1231-Z1231+AF1231</f>
        <v>-200</v>
      </c>
      <c r="AH1231" s="205"/>
      <c r="AI1231" s="205"/>
      <c r="AJ1231" s="123" t="s">
        <v>1119</v>
      </c>
    </row>
    <row r="1232" spans="1:39" s="123" customFormat="1" ht="13" hidden="1" x14ac:dyDescent="0.35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589</v>
      </c>
      <c r="G1232" s="123" t="s">
        <v>589</v>
      </c>
      <c r="H1232" s="123" t="s">
        <v>589</v>
      </c>
      <c r="I1232" s="119" t="s">
        <v>1114</v>
      </c>
      <c r="J1232" s="119" t="s">
        <v>1115</v>
      </c>
      <c r="K1232" s="123" t="s">
        <v>1115</v>
      </c>
      <c r="L1232" s="123" t="s">
        <v>589</v>
      </c>
      <c r="M1232" s="204" t="s">
        <v>45</v>
      </c>
      <c r="N1232" s="183">
        <v>0.95</v>
      </c>
      <c r="O1232" s="184" t="s">
        <v>1120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6"/>
        <v>27075</v>
      </c>
      <c r="U1232" s="204">
        <f t="shared" si="307"/>
        <v>55575</v>
      </c>
      <c r="V1232" s="204">
        <v>27000</v>
      </c>
      <c r="W1232" s="204">
        <f t="shared" si="308"/>
        <v>28575</v>
      </c>
      <c r="X1232" s="205">
        <f t="shared" si="309"/>
        <v>14653.846153846154</v>
      </c>
      <c r="Y1232" s="205">
        <f t="shared" si="310"/>
        <v>13921.153846153846</v>
      </c>
      <c r="Z1232" s="207">
        <f t="shared" si="311"/>
        <v>17572</v>
      </c>
      <c r="AA1232" s="204">
        <f t="shared" ref="AA1232:AA1234" si="316">Q1232+V1232-Z1232</f>
        <v>9428</v>
      </c>
      <c r="AB1232" s="208">
        <f t="shared" si="304"/>
        <v>16693.399999999998</v>
      </c>
      <c r="AC1232" s="209">
        <f t="shared" si="305"/>
        <v>878.60000000000218</v>
      </c>
      <c r="AD1232" s="205">
        <v>15814.8</v>
      </c>
      <c r="AE1232" s="135">
        <v>0</v>
      </c>
      <c r="AF1232" s="205">
        <f t="shared" si="313"/>
        <v>0</v>
      </c>
      <c r="AG1232" s="205">
        <f t="shared" si="315"/>
        <v>-878.60000000000218</v>
      </c>
      <c r="AH1232" s="205"/>
      <c r="AI1232" s="205"/>
      <c r="AJ1232" s="123" t="s">
        <v>1120</v>
      </c>
    </row>
    <row r="1233" spans="1:37" s="123" customFormat="1" ht="13" hidden="1" x14ac:dyDescent="0.35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1121</v>
      </c>
      <c r="G1233" s="123" t="s">
        <v>1121</v>
      </c>
      <c r="H1233" s="123" t="s">
        <v>1121</v>
      </c>
      <c r="I1233" s="119" t="s">
        <v>1114</v>
      </c>
      <c r="J1233" s="119" t="s">
        <v>1115</v>
      </c>
      <c r="K1233" s="123" t="s">
        <v>1115</v>
      </c>
      <c r="L1233" s="123" t="s">
        <v>1121</v>
      </c>
      <c r="M1233" s="204" t="s">
        <v>45</v>
      </c>
      <c r="N1233" s="183">
        <v>0.95</v>
      </c>
      <c r="O1233" s="184" t="s">
        <v>1117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6"/>
        <v>18050</v>
      </c>
      <c r="U1233" s="204">
        <f t="shared" si="307"/>
        <v>37050</v>
      </c>
      <c r="V1233" s="204">
        <v>18000</v>
      </c>
      <c r="W1233" s="204">
        <f t="shared" si="308"/>
        <v>19050</v>
      </c>
      <c r="X1233" s="205">
        <f t="shared" si="309"/>
        <v>9769.2307692307695</v>
      </c>
      <c r="Y1233" s="205">
        <f t="shared" si="310"/>
        <v>9280.7692307692305</v>
      </c>
      <c r="Z1233" s="207">
        <f t="shared" si="311"/>
        <v>20000</v>
      </c>
      <c r="AA1233" s="204">
        <f t="shared" si="316"/>
        <v>-2000</v>
      </c>
      <c r="AB1233" s="208">
        <f t="shared" si="304"/>
        <v>19000</v>
      </c>
      <c r="AC1233" s="209">
        <f t="shared" si="305"/>
        <v>1000</v>
      </c>
      <c r="AD1233" s="207">
        <v>18000</v>
      </c>
      <c r="AE1233" s="135">
        <v>0</v>
      </c>
      <c r="AF1233" s="205">
        <f t="shared" si="313"/>
        <v>0</v>
      </c>
      <c r="AG1233" s="205">
        <f t="shared" si="315"/>
        <v>-1000</v>
      </c>
      <c r="AH1233" s="205"/>
      <c r="AI1233" s="205"/>
      <c r="AJ1233" s="123" t="s">
        <v>1117</v>
      </c>
      <c r="AK1233" s="205" t="s">
        <v>1122</v>
      </c>
    </row>
    <row r="1234" spans="1:37" s="123" customFormat="1" ht="13" hidden="1" x14ac:dyDescent="0.35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1114</v>
      </c>
      <c r="J1234" s="163" t="s">
        <v>43</v>
      </c>
      <c r="K1234" s="123" t="s">
        <v>1123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6"/>
        <v>0</v>
      </c>
      <c r="U1234" s="204">
        <f t="shared" si="307"/>
        <v>20000</v>
      </c>
      <c r="V1234" s="204">
        <v>18000</v>
      </c>
      <c r="W1234" s="204">
        <f t="shared" si="308"/>
        <v>2000</v>
      </c>
      <c r="X1234" s="205">
        <f t="shared" si="309"/>
        <v>2000</v>
      </c>
      <c r="Y1234" s="205">
        <f t="shared" si="310"/>
        <v>0</v>
      </c>
      <c r="Z1234" s="205">
        <v>20000</v>
      </c>
      <c r="AA1234" s="204">
        <f t="shared" si="316"/>
        <v>-2000</v>
      </c>
      <c r="AB1234" s="208">
        <f t="shared" si="304"/>
        <v>20000</v>
      </c>
      <c r="AC1234" s="209">
        <f t="shared" si="305"/>
        <v>0</v>
      </c>
      <c r="AD1234" s="205">
        <v>20000</v>
      </c>
      <c r="AE1234" s="135">
        <v>0</v>
      </c>
      <c r="AF1234" s="205">
        <f t="shared" si="313"/>
        <v>0</v>
      </c>
      <c r="AG1234" s="205">
        <f t="shared" si="315"/>
        <v>0</v>
      </c>
      <c r="AH1234" s="205"/>
      <c r="AI1234" s="205"/>
      <c r="AJ1234" s="123" t="s">
        <v>1116</v>
      </c>
      <c r="AK1234" s="123" t="s">
        <v>1124</v>
      </c>
    </row>
    <row r="1235" spans="1:37" s="123" customFormat="1" ht="13" hidden="1" x14ac:dyDescent="0.35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1114</v>
      </c>
      <c r="J1235" s="163" t="s">
        <v>43</v>
      </c>
      <c r="K1235" s="123" t="s">
        <v>1123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6"/>
        <v>0</v>
      </c>
      <c r="U1235" s="204">
        <f t="shared" si="307"/>
        <v>30000</v>
      </c>
      <c r="V1235" s="204">
        <v>28420.2</v>
      </c>
      <c r="W1235" s="204">
        <f t="shared" si="308"/>
        <v>1579.7999999999993</v>
      </c>
      <c r="X1235" s="205">
        <f t="shared" si="309"/>
        <v>1579.7999999999993</v>
      </c>
      <c r="Y1235" s="205">
        <f t="shared" si="310"/>
        <v>0</v>
      </c>
      <c r="Z1235" s="207">
        <v>12215.1</v>
      </c>
      <c r="AA1235" s="210">
        <v>12215.1</v>
      </c>
      <c r="AB1235" s="208">
        <f t="shared" si="304"/>
        <v>12215.1</v>
      </c>
      <c r="AC1235" s="209">
        <f t="shared" si="305"/>
        <v>0</v>
      </c>
      <c r="AD1235" s="207">
        <v>12215.1</v>
      </c>
      <c r="AE1235" s="135">
        <v>0</v>
      </c>
      <c r="AF1235" s="205">
        <f t="shared" si="313"/>
        <v>0</v>
      </c>
      <c r="AG1235" s="205">
        <f t="shared" si="315"/>
        <v>0</v>
      </c>
      <c r="AH1235" s="205"/>
      <c r="AI1235" s="205"/>
      <c r="AJ1235" s="123" t="s">
        <v>1120</v>
      </c>
      <c r="AK1235" s="123" t="s">
        <v>1124</v>
      </c>
    </row>
    <row r="1236" spans="1:37" s="124" customFormat="1" ht="13" hidden="1" x14ac:dyDescent="0.35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1125</v>
      </c>
      <c r="K1236" s="124" t="s">
        <v>1126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6"/>
        <v>0</v>
      </c>
      <c r="U1236" s="204">
        <f t="shared" si="307"/>
        <v>50000</v>
      </c>
      <c r="V1236" s="204">
        <v>50000</v>
      </c>
      <c r="W1236" s="204">
        <f t="shared" si="308"/>
        <v>0</v>
      </c>
      <c r="X1236" s="204">
        <f t="shared" si="309"/>
        <v>0</v>
      </c>
      <c r="Y1236" s="204">
        <f t="shared" si="310"/>
        <v>0</v>
      </c>
      <c r="Z1236" s="204">
        <v>50000</v>
      </c>
      <c r="AA1236" s="204">
        <f t="shared" ref="AA1236:AA1239" si="317">Q1236+V1236-Z1236</f>
        <v>0</v>
      </c>
      <c r="AB1236" s="208">
        <f t="shared" si="304"/>
        <v>50000</v>
      </c>
      <c r="AC1236" s="209">
        <f t="shared" si="305"/>
        <v>0</v>
      </c>
      <c r="AD1236" s="210">
        <v>44000</v>
      </c>
      <c r="AE1236" s="184">
        <v>0</v>
      </c>
      <c r="AF1236" s="205">
        <f t="shared" si="313"/>
        <v>0</v>
      </c>
      <c r="AG1236" s="204">
        <f t="shared" si="315"/>
        <v>0</v>
      </c>
      <c r="AH1236" s="204"/>
      <c r="AI1236" s="204"/>
      <c r="AJ1236" s="124" t="s">
        <v>1103</v>
      </c>
    </row>
    <row r="1237" spans="1:37" s="124" customFormat="1" ht="13" hidden="1" x14ac:dyDescent="0.35">
      <c r="A1237" s="124">
        <v>2017</v>
      </c>
      <c r="B1237" s="124" t="s">
        <v>37</v>
      </c>
      <c r="C1237" s="124" t="s">
        <v>430</v>
      </c>
      <c r="D1237" s="124" t="s">
        <v>431</v>
      </c>
      <c r="E1237" s="124" t="s">
        <v>432</v>
      </c>
      <c r="F1237" s="124" t="s">
        <v>1127</v>
      </c>
      <c r="G1237" s="124" t="s">
        <v>1127</v>
      </c>
      <c r="H1237" s="124" t="s">
        <v>1127</v>
      </c>
      <c r="I1237" s="175" t="s">
        <v>1128</v>
      </c>
      <c r="J1237" s="175" t="s">
        <v>674</v>
      </c>
      <c r="K1237" s="124" t="s">
        <v>1129</v>
      </c>
      <c r="L1237" s="124" t="s">
        <v>1127</v>
      </c>
      <c r="M1237" s="204" t="s">
        <v>176</v>
      </c>
      <c r="N1237" s="184">
        <v>0</v>
      </c>
      <c r="O1237" s="184" t="s">
        <v>1130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6"/>
        <v>0</v>
      </c>
      <c r="U1237" s="204">
        <f t="shared" si="307"/>
        <v>27778</v>
      </c>
      <c r="V1237" s="204">
        <v>24600</v>
      </c>
      <c r="W1237" s="204">
        <f t="shared" si="308"/>
        <v>3178</v>
      </c>
      <c r="X1237" s="204">
        <f t="shared" si="309"/>
        <v>3178</v>
      </c>
      <c r="Y1237" s="204">
        <f t="shared" si="310"/>
        <v>0</v>
      </c>
      <c r="Z1237" s="204">
        <v>27778</v>
      </c>
      <c r="AA1237" s="204">
        <f t="shared" si="317"/>
        <v>-3178</v>
      </c>
      <c r="AB1237" s="208">
        <f t="shared" si="304"/>
        <v>27778</v>
      </c>
      <c r="AC1237" s="209">
        <f t="shared" si="305"/>
        <v>0</v>
      </c>
      <c r="AD1237" s="204">
        <v>24600</v>
      </c>
      <c r="AE1237" s="184">
        <v>0</v>
      </c>
      <c r="AF1237" s="205">
        <f t="shared" si="313"/>
        <v>0</v>
      </c>
      <c r="AG1237" s="204">
        <f t="shared" si="315"/>
        <v>0</v>
      </c>
      <c r="AH1237" s="204"/>
      <c r="AI1237" s="204"/>
      <c r="AJ1237" s="124" t="s">
        <v>1130</v>
      </c>
    </row>
    <row r="1238" spans="1:37" s="124" customFormat="1" ht="13" hidden="1" x14ac:dyDescent="0.35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644</v>
      </c>
      <c r="F1238" s="124" t="s">
        <v>535</v>
      </c>
      <c r="G1238" s="124" t="s">
        <v>1072</v>
      </c>
      <c r="H1238" s="171" t="s">
        <v>1073</v>
      </c>
      <c r="I1238" s="175" t="s">
        <v>1131</v>
      </c>
      <c r="J1238" s="175" t="s">
        <v>1132</v>
      </c>
      <c r="K1238" s="124" t="s">
        <v>1133</v>
      </c>
      <c r="L1238" s="124" t="s">
        <v>536</v>
      </c>
      <c r="M1238" s="204" t="s">
        <v>45</v>
      </c>
      <c r="N1238" s="184">
        <v>0</v>
      </c>
      <c r="O1238" s="184" t="s">
        <v>1134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6"/>
        <v>0</v>
      </c>
      <c r="U1238" s="204">
        <f t="shared" si="307"/>
        <v>600000</v>
      </c>
      <c r="V1238" s="204">
        <v>600000</v>
      </c>
      <c r="W1238" s="204">
        <f t="shared" si="308"/>
        <v>0</v>
      </c>
      <c r="X1238" s="204">
        <f t="shared" si="309"/>
        <v>0</v>
      </c>
      <c r="Y1238" s="204">
        <f t="shared" si="310"/>
        <v>0</v>
      </c>
      <c r="Z1238" s="204">
        <v>600000</v>
      </c>
      <c r="AA1238" s="204">
        <f t="shared" si="317"/>
        <v>0</v>
      </c>
      <c r="AB1238" s="208">
        <f t="shared" si="304"/>
        <v>600000</v>
      </c>
      <c r="AC1238" s="209">
        <f t="shared" si="305"/>
        <v>0</v>
      </c>
      <c r="AD1238" s="210">
        <v>600000</v>
      </c>
      <c r="AE1238" s="184">
        <v>0</v>
      </c>
      <c r="AF1238" s="205">
        <f t="shared" si="313"/>
        <v>0</v>
      </c>
      <c r="AG1238" s="204">
        <f t="shared" si="315"/>
        <v>0</v>
      </c>
      <c r="AH1238" s="204"/>
      <c r="AI1238" s="204"/>
      <c r="AJ1238" s="124" t="s">
        <v>1134</v>
      </c>
    </row>
    <row r="1239" spans="1:37" s="123" customFormat="1" ht="13" hidden="1" x14ac:dyDescent="0.35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1114</v>
      </c>
      <c r="J1239" s="163" t="s">
        <v>43</v>
      </c>
      <c r="K1239" s="123" t="s">
        <v>1123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1682</v>
      </c>
      <c r="Q1239" s="204">
        <v>0</v>
      </c>
      <c r="R1239" s="204">
        <v>0</v>
      </c>
      <c r="S1239" s="204">
        <v>120000</v>
      </c>
      <c r="T1239" s="204">
        <f t="shared" si="306"/>
        <v>0</v>
      </c>
      <c r="U1239" s="204">
        <f t="shared" si="307"/>
        <v>120000</v>
      </c>
      <c r="V1239" s="204">
        <v>108000</v>
      </c>
      <c r="W1239" s="204">
        <f t="shared" si="308"/>
        <v>12000</v>
      </c>
      <c r="X1239" s="205">
        <f t="shared" si="309"/>
        <v>12000</v>
      </c>
      <c r="Y1239" s="205">
        <f t="shared" si="310"/>
        <v>0</v>
      </c>
      <c r="Z1239" s="205">
        <v>155511</v>
      </c>
      <c r="AA1239" s="204">
        <f t="shared" si="317"/>
        <v>-47511</v>
      </c>
      <c r="AB1239" s="208">
        <v>120000</v>
      </c>
      <c r="AC1239" s="209">
        <f t="shared" si="305"/>
        <v>35511</v>
      </c>
      <c r="AD1239" s="205">
        <v>120000</v>
      </c>
      <c r="AE1239" s="135">
        <v>0</v>
      </c>
      <c r="AF1239" s="205">
        <f t="shared" si="313"/>
        <v>0</v>
      </c>
      <c r="AG1239" s="205">
        <f t="shared" si="315"/>
        <v>-35511</v>
      </c>
      <c r="AH1239" s="205"/>
      <c r="AI1239" s="205"/>
      <c r="AJ1239" s="123" t="s">
        <v>46</v>
      </c>
      <c r="AK1239" s="205" t="s">
        <v>1122</v>
      </c>
    </row>
    <row r="1240" spans="1:37" s="123" customFormat="1" ht="14" hidden="1" x14ac:dyDescent="0.35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486</v>
      </c>
      <c r="G1240" s="123" t="s">
        <v>486</v>
      </c>
      <c r="H1240" s="123" t="s">
        <v>486</v>
      </c>
      <c r="I1240" s="119" t="s">
        <v>1114</v>
      </c>
      <c r="J1240" s="163" t="s">
        <v>43</v>
      </c>
      <c r="K1240" s="123" t="s">
        <v>1123</v>
      </c>
      <c r="L1240" s="123" t="s">
        <v>486</v>
      </c>
      <c r="M1240" s="204" t="s">
        <v>45</v>
      </c>
      <c r="N1240" s="183">
        <v>0.95</v>
      </c>
      <c r="O1240" s="184" t="s">
        <v>1117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6"/>
        <v>36100</v>
      </c>
      <c r="U1240" s="204">
        <f t="shared" si="307"/>
        <v>74100</v>
      </c>
      <c r="V1240" s="204">
        <v>38000</v>
      </c>
      <c r="W1240" s="204">
        <f t="shared" si="308"/>
        <v>36100</v>
      </c>
      <c r="X1240" s="205">
        <f t="shared" si="309"/>
        <v>18512.820512820512</v>
      </c>
      <c r="Y1240" s="205">
        <f t="shared" si="310"/>
        <v>17587.179487179488</v>
      </c>
      <c r="Z1240" s="207">
        <v>18074.7</v>
      </c>
      <c r="AA1240" s="211">
        <v>18074.7</v>
      </c>
      <c r="AB1240" s="208">
        <f t="shared" si="304"/>
        <v>17170.965</v>
      </c>
      <c r="AC1240" s="209">
        <f t="shared" si="305"/>
        <v>903.73500000000058</v>
      </c>
      <c r="AD1240" s="207">
        <v>18074.7</v>
      </c>
      <c r="AE1240" s="135">
        <v>0</v>
      </c>
      <c r="AF1240" s="205">
        <f t="shared" si="313"/>
        <v>0</v>
      </c>
      <c r="AG1240" s="205">
        <f>AB1240-AD1240+AF1240</f>
        <v>-903.73500000000058</v>
      </c>
      <c r="AH1240" s="205"/>
      <c r="AI1240" s="205"/>
      <c r="AJ1240" s="123" t="s">
        <v>1117</v>
      </c>
      <c r="AK1240" s="205"/>
    </row>
    <row r="1241" spans="1:37" s="123" customFormat="1" ht="13" hidden="1" x14ac:dyDescent="0.35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490</v>
      </c>
      <c r="G1241" s="123" t="s">
        <v>490</v>
      </c>
      <c r="H1241" s="123" t="s">
        <v>490</v>
      </c>
      <c r="I1241" s="119" t="s">
        <v>1114</v>
      </c>
      <c r="J1241" s="163" t="s">
        <v>43</v>
      </c>
      <c r="K1241" s="123" t="s">
        <v>1123</v>
      </c>
      <c r="L1241" s="123" t="s">
        <v>1135</v>
      </c>
      <c r="M1241" s="204" t="s">
        <v>45</v>
      </c>
      <c r="N1241" s="183">
        <v>0.95</v>
      </c>
      <c r="O1241" s="184" t="s">
        <v>1120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6"/>
        <v>9025</v>
      </c>
      <c r="U1241" s="204">
        <f t="shared" si="307"/>
        <v>18525</v>
      </c>
      <c r="V1241" s="204">
        <v>9000</v>
      </c>
      <c r="W1241" s="204">
        <f t="shared" si="308"/>
        <v>9525</v>
      </c>
      <c r="X1241" s="205">
        <f t="shared" si="309"/>
        <v>4884.6153846153848</v>
      </c>
      <c r="Y1241" s="205">
        <f t="shared" si="310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5"/>
        <v>0</v>
      </c>
      <c r="AD1241" s="205">
        <v>9500</v>
      </c>
      <c r="AE1241" s="135">
        <v>0</v>
      </c>
      <c r="AF1241" s="205">
        <f t="shared" si="313"/>
        <v>0</v>
      </c>
      <c r="AG1241" s="205">
        <f t="shared" ref="AG1241:AG1272" si="318">AB1241-Z1241+AF1241</f>
        <v>0</v>
      </c>
      <c r="AH1241" s="205"/>
      <c r="AI1241" s="205"/>
      <c r="AJ1241" s="123" t="s">
        <v>1120</v>
      </c>
      <c r="AK1241" s="205" t="s">
        <v>1122</v>
      </c>
    </row>
    <row r="1242" spans="1:37" s="123" customFormat="1" ht="13" hidden="1" x14ac:dyDescent="0.35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589</v>
      </c>
      <c r="G1242" s="123" t="s">
        <v>589</v>
      </c>
      <c r="H1242" s="123" t="s">
        <v>589</v>
      </c>
      <c r="I1242" s="119" t="s">
        <v>1114</v>
      </c>
      <c r="J1242" s="163" t="s">
        <v>43</v>
      </c>
      <c r="K1242" s="123" t="s">
        <v>1123</v>
      </c>
      <c r="L1242" s="123" t="s">
        <v>589</v>
      </c>
      <c r="M1242" s="204" t="s">
        <v>45</v>
      </c>
      <c r="N1242" s="183">
        <v>0.95</v>
      </c>
      <c r="O1242" s="184" t="s">
        <v>1120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6"/>
        <v>60983.729999999996</v>
      </c>
      <c r="U1242" s="204">
        <f t="shared" si="307"/>
        <v>125177.13</v>
      </c>
      <c r="V1242" s="204">
        <v>64193.4</v>
      </c>
      <c r="W1242" s="204">
        <f t="shared" si="308"/>
        <v>60983.73</v>
      </c>
      <c r="X1242" s="205">
        <f t="shared" si="309"/>
        <v>31273.707692307693</v>
      </c>
      <c r="Y1242" s="205">
        <f t="shared" si="310"/>
        <v>29710.02230769231</v>
      </c>
      <c r="Z1242" s="205">
        <v>76000</v>
      </c>
      <c r="AA1242" s="204">
        <v>76000</v>
      </c>
      <c r="AB1242" s="208">
        <f t="shared" si="304"/>
        <v>72200</v>
      </c>
      <c r="AC1242" s="209">
        <f t="shared" si="305"/>
        <v>3800</v>
      </c>
      <c r="AD1242" s="205">
        <v>76000</v>
      </c>
      <c r="AE1242" s="135">
        <v>0</v>
      </c>
      <c r="AF1242" s="205">
        <f t="shared" si="313"/>
        <v>0</v>
      </c>
      <c r="AG1242" s="205">
        <f t="shared" si="318"/>
        <v>-3800</v>
      </c>
      <c r="AH1242" s="205"/>
      <c r="AI1242" s="205"/>
      <c r="AJ1242" s="123" t="s">
        <v>1120</v>
      </c>
    </row>
    <row r="1243" spans="1:37" s="123" customFormat="1" ht="13" hidden="1" x14ac:dyDescent="0.35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788</v>
      </c>
      <c r="G1243" s="123" t="s">
        <v>788</v>
      </c>
      <c r="H1243" s="123" t="s">
        <v>788</v>
      </c>
      <c r="I1243" s="119" t="s">
        <v>1114</v>
      </c>
      <c r="J1243" s="163" t="s">
        <v>43</v>
      </c>
      <c r="K1243" s="123" t="s">
        <v>1123</v>
      </c>
      <c r="L1243" s="123" t="s">
        <v>788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6"/>
        <v>0</v>
      </c>
      <c r="U1243" s="204">
        <f t="shared" si="307"/>
        <v>20000</v>
      </c>
      <c r="V1243" s="204">
        <v>20000</v>
      </c>
      <c r="W1243" s="204">
        <f t="shared" si="308"/>
        <v>0</v>
      </c>
      <c r="X1243" s="205">
        <f t="shared" si="309"/>
        <v>0</v>
      </c>
      <c r="Y1243" s="205">
        <f t="shared" si="310"/>
        <v>0</v>
      </c>
      <c r="Z1243" s="205">
        <v>9516</v>
      </c>
      <c r="AA1243" s="204">
        <f t="shared" ref="AA1243:AA1272" si="319">Q1243+V1243-Z1243</f>
        <v>10484</v>
      </c>
      <c r="AB1243" s="208">
        <f t="shared" si="304"/>
        <v>9516</v>
      </c>
      <c r="AC1243" s="209">
        <f t="shared" si="305"/>
        <v>0</v>
      </c>
      <c r="AD1243" s="205">
        <v>9516</v>
      </c>
      <c r="AE1243" s="135">
        <v>0</v>
      </c>
      <c r="AF1243" s="205">
        <f t="shared" si="313"/>
        <v>0</v>
      </c>
      <c r="AG1243" s="205">
        <f t="shared" si="318"/>
        <v>0</v>
      </c>
      <c r="AH1243" s="205"/>
      <c r="AI1243" s="205"/>
      <c r="AJ1243" s="123" t="s">
        <v>46</v>
      </c>
    </row>
    <row r="1244" spans="1:37" s="124" customFormat="1" ht="13" hidden="1" x14ac:dyDescent="0.35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1136</v>
      </c>
      <c r="J1244" s="175" t="s">
        <v>1137</v>
      </c>
      <c r="K1244" s="124" t="s">
        <v>1137</v>
      </c>
      <c r="L1244" s="124" t="s">
        <v>41</v>
      </c>
      <c r="M1244" s="204" t="s">
        <v>45</v>
      </c>
      <c r="N1244" s="184">
        <v>0</v>
      </c>
      <c r="O1244" s="184" t="s">
        <v>1103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6"/>
        <v>0</v>
      </c>
      <c r="U1244" s="204">
        <f t="shared" si="307"/>
        <v>0</v>
      </c>
      <c r="V1244" s="204">
        <v>0</v>
      </c>
      <c r="W1244" s="204">
        <f t="shared" si="308"/>
        <v>0</v>
      </c>
      <c r="X1244" s="204">
        <f t="shared" si="309"/>
        <v>0</v>
      </c>
      <c r="Y1244" s="204">
        <f t="shared" si="310"/>
        <v>0</v>
      </c>
      <c r="Z1244" s="204">
        <v>0</v>
      </c>
      <c r="AA1244" s="204">
        <f t="shared" si="319"/>
        <v>0</v>
      </c>
      <c r="AB1244" s="208">
        <f t="shared" si="304"/>
        <v>0</v>
      </c>
      <c r="AC1244" s="209">
        <f t="shared" si="305"/>
        <v>0</v>
      </c>
      <c r="AD1244" s="204">
        <v>0</v>
      </c>
      <c r="AE1244" s="184">
        <v>0</v>
      </c>
      <c r="AF1244" s="205">
        <f t="shared" si="313"/>
        <v>0</v>
      </c>
      <c r="AG1244" s="204">
        <f t="shared" si="318"/>
        <v>0</v>
      </c>
      <c r="AH1244" s="204"/>
      <c r="AI1244" s="204"/>
      <c r="AJ1244" s="124" t="s">
        <v>1103</v>
      </c>
    </row>
    <row r="1245" spans="1:37" s="124" customFormat="1" ht="13" hidden="1" x14ac:dyDescent="0.35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1136</v>
      </c>
      <c r="J1245" s="175" t="s">
        <v>1137</v>
      </c>
      <c r="K1245" s="124" t="s">
        <v>1137</v>
      </c>
      <c r="L1245" s="124" t="s">
        <v>390</v>
      </c>
      <c r="M1245" s="204" t="s">
        <v>158</v>
      </c>
      <c r="N1245" s="184">
        <v>0</v>
      </c>
      <c r="O1245" s="184" t="s">
        <v>1138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6"/>
        <v>0</v>
      </c>
      <c r="U1245" s="204">
        <f t="shared" si="307"/>
        <v>185000</v>
      </c>
      <c r="V1245" s="204">
        <v>185000</v>
      </c>
      <c r="W1245" s="204">
        <f t="shared" si="308"/>
        <v>0</v>
      </c>
      <c r="X1245" s="204">
        <f t="shared" si="309"/>
        <v>0</v>
      </c>
      <c r="Y1245" s="204">
        <f t="shared" si="310"/>
        <v>0</v>
      </c>
      <c r="Z1245" s="204">
        <v>185000</v>
      </c>
      <c r="AA1245" s="210">
        <v>185000</v>
      </c>
      <c r="AB1245" s="208">
        <f t="shared" si="304"/>
        <v>185000</v>
      </c>
      <c r="AC1245" s="209">
        <f t="shared" si="305"/>
        <v>0</v>
      </c>
      <c r="AD1245" s="210">
        <v>185000</v>
      </c>
      <c r="AE1245" s="184">
        <v>0.1</v>
      </c>
      <c r="AF1245" s="205">
        <f t="shared" si="313"/>
        <v>18500</v>
      </c>
      <c r="AG1245" s="204">
        <f t="shared" si="318"/>
        <v>18500</v>
      </c>
      <c r="AH1245" s="204"/>
      <c r="AI1245" s="204"/>
      <c r="AJ1245" s="124" t="s">
        <v>1138</v>
      </c>
    </row>
    <row r="1246" spans="1:37" s="124" customFormat="1" ht="13" hidden="1" x14ac:dyDescent="0.35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1136</v>
      </c>
      <c r="J1246" s="175" t="s">
        <v>1137</v>
      </c>
      <c r="K1246" s="124" t="s">
        <v>1137</v>
      </c>
      <c r="L1246" s="124" t="s">
        <v>228</v>
      </c>
      <c r="M1246" s="204" t="s">
        <v>45</v>
      </c>
      <c r="N1246" s="184">
        <v>0</v>
      </c>
      <c r="O1246" s="184" t="s">
        <v>1116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6"/>
        <v>0</v>
      </c>
      <c r="U1246" s="204">
        <f t="shared" si="307"/>
        <v>26000</v>
      </c>
      <c r="V1246" s="204">
        <v>25504.85</v>
      </c>
      <c r="W1246" s="204">
        <f t="shared" si="308"/>
        <v>495.15000000000146</v>
      </c>
      <c r="X1246" s="204">
        <f t="shared" si="309"/>
        <v>495.15000000000146</v>
      </c>
      <c r="Y1246" s="204">
        <f t="shared" si="310"/>
        <v>0</v>
      </c>
      <c r="Z1246" s="204">
        <f>26000-9691.2</f>
        <v>16308.8</v>
      </c>
      <c r="AA1246" s="204">
        <f t="shared" si="319"/>
        <v>9196.0499999999993</v>
      </c>
      <c r="AB1246" s="208">
        <v>26000</v>
      </c>
      <c r="AC1246" s="209">
        <f t="shared" si="305"/>
        <v>-9691.2000000000007</v>
      </c>
      <c r="AD1246" s="204">
        <f>25504.85-9691.2</f>
        <v>15813.649999999998</v>
      </c>
      <c r="AE1246" s="184">
        <v>0</v>
      </c>
      <c r="AF1246" s="205">
        <f t="shared" si="313"/>
        <v>0</v>
      </c>
      <c r="AG1246" s="204">
        <f t="shared" si="318"/>
        <v>9691.2000000000007</v>
      </c>
      <c r="AH1246" s="204"/>
      <c r="AI1246" s="204"/>
      <c r="AJ1246" s="124" t="s">
        <v>1116</v>
      </c>
    </row>
    <row r="1247" spans="1:37" s="124" customFormat="1" ht="13" hidden="1" x14ac:dyDescent="0.35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1136</v>
      </c>
      <c r="J1247" s="175" t="s">
        <v>1137</v>
      </c>
      <c r="K1247" s="124" t="s">
        <v>1137</v>
      </c>
      <c r="L1247" s="124" t="s">
        <v>228</v>
      </c>
      <c r="M1247" s="204" t="s">
        <v>158</v>
      </c>
      <c r="N1247" s="184">
        <v>0</v>
      </c>
      <c r="O1247" s="184" t="s">
        <v>1138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6"/>
        <v>0</v>
      </c>
      <c r="U1247" s="204">
        <f t="shared" si="307"/>
        <v>133250</v>
      </c>
      <c r="V1247" s="204">
        <v>133250</v>
      </c>
      <c r="W1247" s="204">
        <f t="shared" si="308"/>
        <v>0</v>
      </c>
      <c r="X1247" s="204">
        <f t="shared" si="309"/>
        <v>0</v>
      </c>
      <c r="Y1247" s="204">
        <f t="shared" si="310"/>
        <v>0</v>
      </c>
      <c r="Z1247" s="204">
        <v>133250</v>
      </c>
      <c r="AA1247" s="204">
        <f t="shared" si="319"/>
        <v>0</v>
      </c>
      <c r="AB1247" s="208">
        <f t="shared" si="304"/>
        <v>133250</v>
      </c>
      <c r="AC1247" s="209">
        <f t="shared" si="305"/>
        <v>0</v>
      </c>
      <c r="AD1247" s="210">
        <v>133250</v>
      </c>
      <c r="AE1247" s="184">
        <v>0.1</v>
      </c>
      <c r="AF1247" s="205">
        <f t="shared" si="313"/>
        <v>13325</v>
      </c>
      <c r="AG1247" s="204">
        <f t="shared" si="318"/>
        <v>13325</v>
      </c>
      <c r="AH1247" s="204"/>
      <c r="AI1247" s="204"/>
      <c r="AJ1247" s="124" t="s">
        <v>1138</v>
      </c>
    </row>
    <row r="1248" spans="1:37" s="124" customFormat="1" ht="13" hidden="1" x14ac:dyDescent="0.35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1136</v>
      </c>
      <c r="J1248" s="175" t="s">
        <v>1137</v>
      </c>
      <c r="K1248" s="124" t="s">
        <v>1137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6"/>
        <v>0</v>
      </c>
      <c r="U1248" s="204">
        <f t="shared" si="307"/>
        <v>5000</v>
      </c>
      <c r="V1248" s="204">
        <v>4854.3689320388303</v>
      </c>
      <c r="W1248" s="204">
        <f t="shared" si="308"/>
        <v>145.63106796116972</v>
      </c>
      <c r="X1248" s="204">
        <f t="shared" si="309"/>
        <v>145.63106796116972</v>
      </c>
      <c r="Y1248" s="204">
        <f t="shared" si="310"/>
        <v>0</v>
      </c>
      <c r="Z1248" s="204">
        <v>5000</v>
      </c>
      <c r="AA1248" s="204">
        <f t="shared" si="319"/>
        <v>-145.63106796116972</v>
      </c>
      <c r="AB1248" s="208">
        <f t="shared" si="304"/>
        <v>5000</v>
      </c>
      <c r="AC1248" s="209">
        <f t="shared" si="305"/>
        <v>0</v>
      </c>
      <c r="AD1248" s="204">
        <v>4854.3689320388303</v>
      </c>
      <c r="AE1248" s="184">
        <v>0</v>
      </c>
      <c r="AF1248" s="205">
        <f t="shared" si="313"/>
        <v>0</v>
      </c>
      <c r="AG1248" s="204">
        <f t="shared" si="318"/>
        <v>0</v>
      </c>
      <c r="AH1248" s="204"/>
      <c r="AI1248" s="204"/>
      <c r="AJ1248" s="124" t="s">
        <v>46</v>
      </c>
    </row>
    <row r="1249" spans="1:36" s="124" customFormat="1" ht="13" hidden="1" x14ac:dyDescent="0.35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1136</v>
      </c>
      <c r="J1249" s="175" t="s">
        <v>1137</v>
      </c>
      <c r="K1249" s="124" t="s">
        <v>1137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6"/>
        <v>0</v>
      </c>
      <c r="U1249" s="204">
        <f t="shared" si="307"/>
        <v>10000</v>
      </c>
      <c r="V1249" s="204">
        <v>9708.7378640776697</v>
      </c>
      <c r="W1249" s="204">
        <f t="shared" si="308"/>
        <v>291.26213592233034</v>
      </c>
      <c r="X1249" s="204">
        <f t="shared" si="309"/>
        <v>291.26213592233034</v>
      </c>
      <c r="Y1249" s="204">
        <f t="shared" si="310"/>
        <v>0</v>
      </c>
      <c r="Z1249" s="204">
        <v>10000</v>
      </c>
      <c r="AA1249" s="204">
        <f t="shared" si="319"/>
        <v>-291.26213592233034</v>
      </c>
      <c r="AB1249" s="208">
        <f t="shared" si="304"/>
        <v>10000</v>
      </c>
      <c r="AC1249" s="209">
        <f t="shared" si="305"/>
        <v>0</v>
      </c>
      <c r="AD1249" s="204">
        <v>9708.7378640776697</v>
      </c>
      <c r="AE1249" s="184">
        <v>0</v>
      </c>
      <c r="AF1249" s="205">
        <f t="shared" si="313"/>
        <v>0</v>
      </c>
      <c r="AG1249" s="204">
        <f t="shared" si="318"/>
        <v>0</v>
      </c>
      <c r="AH1249" s="204"/>
      <c r="AI1249" s="204"/>
      <c r="AJ1249" s="124" t="s">
        <v>46</v>
      </c>
    </row>
    <row r="1250" spans="1:36" s="124" customFormat="1" ht="13" hidden="1" x14ac:dyDescent="0.35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893</v>
      </c>
      <c r="G1250" s="124" t="s">
        <v>893</v>
      </c>
      <c r="H1250" s="124" t="s">
        <v>893</v>
      </c>
      <c r="I1250" s="175" t="s">
        <v>1136</v>
      </c>
      <c r="J1250" s="175" t="s">
        <v>1137</v>
      </c>
      <c r="K1250" s="124" t="s">
        <v>1137</v>
      </c>
      <c r="L1250" s="124" t="s">
        <v>893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6"/>
        <v>400</v>
      </c>
      <c r="U1250" s="204">
        <f t="shared" si="307"/>
        <v>20400</v>
      </c>
      <c r="V1250" s="204">
        <v>19417.48</v>
      </c>
      <c r="W1250" s="204">
        <f t="shared" si="308"/>
        <v>982.52000000000044</v>
      </c>
      <c r="X1250" s="204">
        <f t="shared" si="309"/>
        <v>963.25490196078476</v>
      </c>
      <c r="Y1250" s="204">
        <f t="shared" si="310"/>
        <v>19.265098039215673</v>
      </c>
      <c r="Z1250" s="204">
        <v>20000</v>
      </c>
      <c r="AA1250" s="204">
        <f t="shared" si="319"/>
        <v>-582.52000000000044</v>
      </c>
      <c r="AB1250" s="208">
        <f t="shared" si="304"/>
        <v>19607.843137254902</v>
      </c>
      <c r="AC1250" s="209">
        <f t="shared" si="305"/>
        <v>392.1568627450979</v>
      </c>
      <c r="AD1250" s="204">
        <v>19417.48</v>
      </c>
      <c r="AE1250" s="184">
        <v>0</v>
      </c>
      <c r="AF1250" s="205">
        <f t="shared" si="313"/>
        <v>0</v>
      </c>
      <c r="AG1250" s="204">
        <f t="shared" si="318"/>
        <v>-392.1568627450979</v>
      </c>
      <c r="AH1250" s="204"/>
      <c r="AI1250" s="204"/>
      <c r="AJ1250" s="124" t="s">
        <v>171</v>
      </c>
    </row>
    <row r="1251" spans="1:36" s="124" customFormat="1" ht="13" hidden="1" x14ac:dyDescent="0.35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1139</v>
      </c>
      <c r="G1251" s="124" t="s">
        <v>1139</v>
      </c>
      <c r="H1251" s="124" t="s">
        <v>1139</v>
      </c>
      <c r="I1251" s="175" t="s">
        <v>1136</v>
      </c>
      <c r="J1251" s="175" t="s">
        <v>1137</v>
      </c>
      <c r="K1251" s="124" t="s">
        <v>1137</v>
      </c>
      <c r="L1251" s="124" t="s">
        <v>1139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6"/>
        <v>0</v>
      </c>
      <c r="U1251" s="204">
        <f t="shared" si="307"/>
        <v>60000</v>
      </c>
      <c r="V1251" s="204">
        <v>58543.7</v>
      </c>
      <c r="W1251" s="204">
        <f t="shared" si="308"/>
        <v>1456.3000000000029</v>
      </c>
      <c r="X1251" s="204">
        <f t="shared" si="309"/>
        <v>1456.3000000000029</v>
      </c>
      <c r="Y1251" s="204">
        <f t="shared" si="310"/>
        <v>0</v>
      </c>
      <c r="Z1251" s="204">
        <f>60000-3340</f>
        <v>56660</v>
      </c>
      <c r="AA1251" s="204">
        <f t="shared" si="319"/>
        <v>1883.6999999999971</v>
      </c>
      <c r="AB1251" s="208">
        <f t="shared" si="304"/>
        <v>56660</v>
      </c>
      <c r="AC1251" s="209">
        <f t="shared" si="305"/>
        <v>0</v>
      </c>
      <c r="AD1251" s="204">
        <v>55203.7</v>
      </c>
      <c r="AE1251" s="184">
        <v>0</v>
      </c>
      <c r="AF1251" s="205">
        <f t="shared" si="313"/>
        <v>0</v>
      </c>
      <c r="AG1251" s="204">
        <f t="shared" si="318"/>
        <v>0</v>
      </c>
      <c r="AH1251" s="204"/>
      <c r="AI1251" s="204"/>
      <c r="AJ1251" s="124" t="s">
        <v>46</v>
      </c>
    </row>
    <row r="1252" spans="1:36" s="124" customFormat="1" ht="13" hidden="1" x14ac:dyDescent="0.35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1140</v>
      </c>
      <c r="G1252" s="124" t="s">
        <v>1140</v>
      </c>
      <c r="H1252" s="124" t="s">
        <v>1140</v>
      </c>
      <c r="I1252" s="175" t="s">
        <v>1136</v>
      </c>
      <c r="J1252" s="175" t="s">
        <v>1137</v>
      </c>
      <c r="K1252" s="124" t="s">
        <v>1137</v>
      </c>
      <c r="L1252" s="124" t="s">
        <v>1140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6"/>
        <v>0</v>
      </c>
      <c r="U1252" s="204">
        <f t="shared" si="307"/>
        <v>5000</v>
      </c>
      <c r="V1252" s="204">
        <v>4854.3689320388303</v>
      </c>
      <c r="W1252" s="204">
        <f t="shared" si="308"/>
        <v>145.63106796116972</v>
      </c>
      <c r="X1252" s="204">
        <f t="shared" si="309"/>
        <v>145.63106796116972</v>
      </c>
      <c r="Y1252" s="204">
        <f t="shared" si="310"/>
        <v>0</v>
      </c>
      <c r="Z1252" s="204">
        <v>5000</v>
      </c>
      <c r="AA1252" s="204">
        <f t="shared" si="319"/>
        <v>-145.63106796116972</v>
      </c>
      <c r="AB1252" s="208">
        <f t="shared" si="304"/>
        <v>5000</v>
      </c>
      <c r="AC1252" s="209">
        <f t="shared" si="305"/>
        <v>0</v>
      </c>
      <c r="AD1252" s="204">
        <v>4854.3689320388303</v>
      </c>
      <c r="AE1252" s="184">
        <v>0</v>
      </c>
      <c r="AF1252" s="205">
        <f t="shared" si="313"/>
        <v>0</v>
      </c>
      <c r="AG1252" s="204">
        <f t="shared" si="318"/>
        <v>0</v>
      </c>
      <c r="AH1252" s="204"/>
      <c r="AI1252" s="204"/>
      <c r="AJ1252" s="124" t="s">
        <v>118</v>
      </c>
    </row>
    <row r="1253" spans="1:36" s="124" customFormat="1" ht="13" hidden="1" x14ac:dyDescent="0.35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1136</v>
      </c>
      <c r="J1253" s="175" t="s">
        <v>1137</v>
      </c>
      <c r="K1253" s="124" t="s">
        <v>1137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6"/>
        <v>0</v>
      </c>
      <c r="U1253" s="204">
        <f t="shared" si="307"/>
        <v>4543.1499999999996</v>
      </c>
      <c r="V1253" s="204">
        <v>4410.83</v>
      </c>
      <c r="W1253" s="204">
        <f t="shared" si="308"/>
        <v>132.31999999999971</v>
      </c>
      <c r="X1253" s="204">
        <f t="shared" si="309"/>
        <v>132.31999999999971</v>
      </c>
      <c r="Y1253" s="204">
        <f t="shared" si="310"/>
        <v>0</v>
      </c>
      <c r="Z1253" s="204">
        <v>4543.1499999999996</v>
      </c>
      <c r="AA1253" s="204">
        <f t="shared" si="319"/>
        <v>-132.31999999999971</v>
      </c>
      <c r="AB1253" s="208">
        <f t="shared" si="304"/>
        <v>4543.1499999999996</v>
      </c>
      <c r="AC1253" s="209">
        <f t="shared" si="305"/>
        <v>0</v>
      </c>
      <c r="AD1253" s="204">
        <v>4410.83</v>
      </c>
      <c r="AE1253" s="184">
        <v>0</v>
      </c>
      <c r="AF1253" s="205">
        <f t="shared" si="313"/>
        <v>0</v>
      </c>
      <c r="AG1253" s="204">
        <f t="shared" si="318"/>
        <v>0</v>
      </c>
      <c r="AH1253" s="204"/>
      <c r="AI1253" s="204"/>
      <c r="AJ1253" s="124" t="s">
        <v>118</v>
      </c>
    </row>
    <row r="1254" spans="1:36" s="124" customFormat="1" ht="13" hidden="1" x14ac:dyDescent="0.35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470</v>
      </c>
      <c r="G1254" s="124" t="s">
        <v>470</v>
      </c>
      <c r="H1254" s="124" t="s">
        <v>470</v>
      </c>
      <c r="I1254" s="175" t="s">
        <v>1136</v>
      </c>
      <c r="J1254" s="175" t="s">
        <v>1137</v>
      </c>
      <c r="K1254" s="124" t="s">
        <v>1137</v>
      </c>
      <c r="L1254" s="124" t="s">
        <v>470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6"/>
        <v>0</v>
      </c>
      <c r="U1254" s="204">
        <f t="shared" si="307"/>
        <v>15000</v>
      </c>
      <c r="V1254" s="204">
        <v>14563.11</v>
      </c>
      <c r="W1254" s="204">
        <f t="shared" si="308"/>
        <v>436.88999999999942</v>
      </c>
      <c r="X1254" s="204">
        <f t="shared" si="309"/>
        <v>436.88999999999942</v>
      </c>
      <c r="Y1254" s="204">
        <f t="shared" si="310"/>
        <v>0</v>
      </c>
      <c r="Z1254" s="204">
        <v>15000</v>
      </c>
      <c r="AA1254" s="204">
        <v>0</v>
      </c>
      <c r="AB1254" s="208">
        <f t="shared" si="304"/>
        <v>15000</v>
      </c>
      <c r="AC1254" s="209">
        <f t="shared" si="305"/>
        <v>0</v>
      </c>
      <c r="AD1254" s="204">
        <v>14563.11</v>
      </c>
      <c r="AE1254" s="184">
        <v>0</v>
      </c>
      <c r="AF1254" s="205">
        <f t="shared" si="313"/>
        <v>0</v>
      </c>
      <c r="AG1254" s="204">
        <f t="shared" si="318"/>
        <v>0</v>
      </c>
      <c r="AH1254" s="204"/>
      <c r="AI1254" s="204"/>
      <c r="AJ1254" s="124" t="s">
        <v>118</v>
      </c>
    </row>
    <row r="1255" spans="1:36" s="124" customFormat="1" ht="13" hidden="1" x14ac:dyDescent="0.35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1136</v>
      </c>
      <c r="J1255" s="175" t="s">
        <v>1137</v>
      </c>
      <c r="K1255" s="124" t="s">
        <v>1137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6"/>
        <v>0</v>
      </c>
      <c r="U1255" s="204">
        <f t="shared" si="307"/>
        <v>20000</v>
      </c>
      <c r="V1255" s="204">
        <v>19417.48</v>
      </c>
      <c r="W1255" s="204">
        <f t="shared" si="308"/>
        <v>582.52000000000044</v>
      </c>
      <c r="X1255" s="204">
        <f t="shared" si="309"/>
        <v>582.52000000000044</v>
      </c>
      <c r="Y1255" s="204">
        <f t="shared" si="310"/>
        <v>0</v>
      </c>
      <c r="Z1255" s="204">
        <v>20000</v>
      </c>
      <c r="AA1255" s="204">
        <f t="shared" si="319"/>
        <v>-582.52000000000044</v>
      </c>
      <c r="AB1255" s="208">
        <f t="shared" si="304"/>
        <v>20000</v>
      </c>
      <c r="AC1255" s="209">
        <f t="shared" si="305"/>
        <v>0</v>
      </c>
      <c r="AD1255" s="204">
        <v>19417.48</v>
      </c>
      <c r="AE1255" s="184">
        <v>0</v>
      </c>
      <c r="AF1255" s="205">
        <f t="shared" si="313"/>
        <v>0</v>
      </c>
      <c r="AG1255" s="204">
        <f t="shared" si="318"/>
        <v>0</v>
      </c>
      <c r="AH1255" s="204"/>
      <c r="AI1255" s="204"/>
      <c r="AJ1255" s="124" t="s">
        <v>118</v>
      </c>
    </row>
    <row r="1256" spans="1:36" s="124" customFormat="1" ht="13" hidden="1" x14ac:dyDescent="0.35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1136</v>
      </c>
      <c r="J1256" s="175" t="s">
        <v>1137</v>
      </c>
      <c r="K1256" s="124" t="s">
        <v>1137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6"/>
        <v>0</v>
      </c>
      <c r="U1256" s="204">
        <f t="shared" si="307"/>
        <v>562000</v>
      </c>
      <c r="V1256" s="204">
        <v>562000</v>
      </c>
      <c r="W1256" s="204">
        <f t="shared" si="308"/>
        <v>0</v>
      </c>
      <c r="X1256" s="204">
        <f t="shared" si="309"/>
        <v>0</v>
      </c>
      <c r="Y1256" s="204">
        <f t="shared" si="310"/>
        <v>0</v>
      </c>
      <c r="Z1256" s="204">
        <v>562000</v>
      </c>
      <c r="AA1256" s="204">
        <f t="shared" si="319"/>
        <v>0</v>
      </c>
      <c r="AB1256" s="208">
        <f t="shared" si="304"/>
        <v>562000</v>
      </c>
      <c r="AC1256" s="209">
        <f t="shared" si="305"/>
        <v>0</v>
      </c>
      <c r="AD1256" s="210">
        <v>562000</v>
      </c>
      <c r="AE1256" s="184">
        <v>0.1</v>
      </c>
      <c r="AF1256" s="205">
        <f t="shared" si="313"/>
        <v>56200</v>
      </c>
      <c r="AG1256" s="204">
        <f t="shared" si="318"/>
        <v>56200</v>
      </c>
      <c r="AH1256" s="204"/>
      <c r="AI1256" s="204"/>
      <c r="AJ1256" s="124" t="s">
        <v>239</v>
      </c>
    </row>
    <row r="1257" spans="1:36" s="124" customFormat="1" ht="13" hidden="1" x14ac:dyDescent="0.35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1136</v>
      </c>
      <c r="J1257" s="175" t="s">
        <v>1137</v>
      </c>
      <c r="K1257" s="124" t="s">
        <v>1137</v>
      </c>
      <c r="L1257" s="124" t="s">
        <v>157</v>
      </c>
      <c r="M1257" s="204" t="s">
        <v>45</v>
      </c>
      <c r="N1257" s="184">
        <v>0</v>
      </c>
      <c r="O1257" s="184" t="s">
        <v>1116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6"/>
        <v>0</v>
      </c>
      <c r="U1257" s="204">
        <f t="shared" si="307"/>
        <v>5000</v>
      </c>
      <c r="V1257" s="204">
        <v>4854.37</v>
      </c>
      <c r="W1257" s="204">
        <f t="shared" si="308"/>
        <v>145.63000000000011</v>
      </c>
      <c r="X1257" s="204">
        <f t="shared" si="309"/>
        <v>145.63000000000011</v>
      </c>
      <c r="Y1257" s="204">
        <f t="shared" si="310"/>
        <v>0</v>
      </c>
      <c r="Z1257" s="204">
        <v>5000</v>
      </c>
      <c r="AA1257" s="204">
        <f t="shared" si="319"/>
        <v>-145.63000000000011</v>
      </c>
      <c r="AB1257" s="208">
        <f t="shared" si="304"/>
        <v>5000</v>
      </c>
      <c r="AC1257" s="209">
        <f t="shared" si="305"/>
        <v>0</v>
      </c>
      <c r="AD1257" s="204">
        <v>4854.37</v>
      </c>
      <c r="AE1257" s="184">
        <v>0</v>
      </c>
      <c r="AF1257" s="205">
        <f t="shared" si="313"/>
        <v>0</v>
      </c>
      <c r="AG1257" s="204">
        <f t="shared" si="318"/>
        <v>0</v>
      </c>
      <c r="AH1257" s="204"/>
      <c r="AI1257" s="204"/>
      <c r="AJ1257" s="124" t="s">
        <v>1116</v>
      </c>
    </row>
    <row r="1258" spans="1:36" s="124" customFormat="1" ht="13" hidden="1" x14ac:dyDescent="0.35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1136</v>
      </c>
      <c r="J1258" s="175" t="s">
        <v>1137</v>
      </c>
      <c r="K1258" s="124" t="s">
        <v>1137</v>
      </c>
      <c r="L1258" s="124" t="s">
        <v>157</v>
      </c>
      <c r="M1258" s="204" t="s">
        <v>158</v>
      </c>
      <c r="N1258" s="184">
        <v>0</v>
      </c>
      <c r="O1258" s="184" t="s">
        <v>1138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6"/>
        <v>0</v>
      </c>
      <c r="U1258" s="204">
        <f t="shared" si="307"/>
        <v>3107000</v>
      </c>
      <c r="V1258" s="204">
        <v>3107000</v>
      </c>
      <c r="W1258" s="204">
        <f t="shared" si="308"/>
        <v>0</v>
      </c>
      <c r="X1258" s="204">
        <f t="shared" si="309"/>
        <v>0</v>
      </c>
      <c r="Y1258" s="204">
        <f t="shared" si="310"/>
        <v>0</v>
      </c>
      <c r="Z1258" s="204">
        <v>3107000</v>
      </c>
      <c r="AA1258" s="204">
        <f t="shared" si="319"/>
        <v>0</v>
      </c>
      <c r="AB1258" s="208">
        <f t="shared" si="304"/>
        <v>3107000</v>
      </c>
      <c r="AC1258" s="209">
        <f t="shared" si="305"/>
        <v>0</v>
      </c>
      <c r="AD1258" s="210">
        <v>3107000</v>
      </c>
      <c r="AE1258" s="184">
        <v>0.1</v>
      </c>
      <c r="AF1258" s="205">
        <f t="shared" si="313"/>
        <v>310700</v>
      </c>
      <c r="AG1258" s="204">
        <f t="shared" si="318"/>
        <v>310700</v>
      </c>
      <c r="AH1258" s="204"/>
      <c r="AI1258" s="204"/>
      <c r="AJ1258" s="124" t="s">
        <v>1138</v>
      </c>
    </row>
    <row r="1259" spans="1:36" s="124" customFormat="1" ht="13" hidden="1" x14ac:dyDescent="0.35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1141</v>
      </c>
      <c r="G1259" s="124" t="s">
        <v>1141</v>
      </c>
      <c r="H1259" s="124" t="s">
        <v>1141</v>
      </c>
      <c r="I1259" s="175" t="s">
        <v>1136</v>
      </c>
      <c r="J1259" s="175" t="s">
        <v>1137</v>
      </c>
      <c r="K1259" s="124" t="s">
        <v>1137</v>
      </c>
      <c r="L1259" s="124" t="s">
        <v>1142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6"/>
        <v>0</v>
      </c>
      <c r="U1259" s="204">
        <f t="shared" si="307"/>
        <v>50000</v>
      </c>
      <c r="V1259" s="204">
        <v>49126.21</v>
      </c>
      <c r="W1259" s="204">
        <f t="shared" si="308"/>
        <v>873.79000000000087</v>
      </c>
      <c r="X1259" s="204">
        <f t="shared" si="309"/>
        <v>873.79000000000087</v>
      </c>
      <c r="Y1259" s="204">
        <f t="shared" si="310"/>
        <v>0</v>
      </c>
      <c r="Z1259" s="204">
        <v>50000</v>
      </c>
      <c r="AA1259" s="204">
        <f t="shared" si="319"/>
        <v>-873.79000000000087</v>
      </c>
      <c r="AB1259" s="208">
        <f t="shared" si="304"/>
        <v>50000</v>
      </c>
      <c r="AC1259" s="209">
        <f t="shared" si="305"/>
        <v>0</v>
      </c>
      <c r="AD1259" s="204">
        <v>49126.21</v>
      </c>
      <c r="AE1259" s="184">
        <v>0</v>
      </c>
      <c r="AF1259" s="205">
        <f t="shared" si="313"/>
        <v>0</v>
      </c>
      <c r="AG1259" s="204">
        <f t="shared" si="318"/>
        <v>0</v>
      </c>
      <c r="AH1259" s="204"/>
      <c r="AI1259" s="204"/>
      <c r="AJ1259" s="124" t="s">
        <v>46</v>
      </c>
    </row>
    <row r="1260" spans="1:36" s="124" customFormat="1" ht="13" hidden="1" x14ac:dyDescent="0.35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1090</v>
      </c>
      <c r="G1260" s="124" t="s">
        <v>1091</v>
      </c>
      <c r="H1260" s="124" t="s">
        <v>1091</v>
      </c>
      <c r="I1260" s="175" t="s">
        <v>1136</v>
      </c>
      <c r="J1260" s="175" t="s">
        <v>1137</v>
      </c>
      <c r="K1260" s="124" t="s">
        <v>1137</v>
      </c>
      <c r="L1260" s="124" t="s">
        <v>1090</v>
      </c>
      <c r="M1260" s="204" t="s">
        <v>158</v>
      </c>
      <c r="N1260" s="184">
        <v>0</v>
      </c>
      <c r="O1260" s="184" t="s">
        <v>1134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6"/>
        <v>0</v>
      </c>
      <c r="U1260" s="204">
        <f t="shared" si="307"/>
        <v>175000</v>
      </c>
      <c r="V1260" s="204">
        <v>175000</v>
      </c>
      <c r="W1260" s="204">
        <f t="shared" si="308"/>
        <v>0</v>
      </c>
      <c r="X1260" s="204">
        <f t="shared" si="309"/>
        <v>0</v>
      </c>
      <c r="Y1260" s="204">
        <f t="shared" si="310"/>
        <v>0</v>
      </c>
      <c r="Z1260" s="204">
        <v>175000</v>
      </c>
      <c r="AA1260" s="204">
        <f t="shared" si="319"/>
        <v>0</v>
      </c>
      <c r="AB1260" s="208">
        <f t="shared" si="304"/>
        <v>175000</v>
      </c>
      <c r="AC1260" s="209">
        <f t="shared" si="305"/>
        <v>0</v>
      </c>
      <c r="AD1260" s="204">
        <v>175000</v>
      </c>
      <c r="AE1260" s="184">
        <v>0.1</v>
      </c>
      <c r="AF1260" s="205">
        <f t="shared" si="313"/>
        <v>17500</v>
      </c>
      <c r="AG1260" s="204">
        <f t="shared" si="318"/>
        <v>17500</v>
      </c>
      <c r="AH1260" s="204"/>
      <c r="AI1260" s="204"/>
      <c r="AJ1260" s="124" t="s">
        <v>1134</v>
      </c>
    </row>
    <row r="1261" spans="1:36" s="124" customFormat="1" ht="13" hidden="1" x14ac:dyDescent="0.35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1136</v>
      </c>
      <c r="J1261" s="175" t="s">
        <v>1137</v>
      </c>
      <c r="K1261" s="124" t="s">
        <v>1137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6"/>
        <v>0</v>
      </c>
      <c r="U1261" s="204">
        <f t="shared" si="307"/>
        <v>0</v>
      </c>
      <c r="V1261" s="204">
        <v>0</v>
      </c>
      <c r="W1261" s="204">
        <f t="shared" si="308"/>
        <v>0</v>
      </c>
      <c r="X1261" s="204">
        <f t="shared" si="309"/>
        <v>0</v>
      </c>
      <c r="Y1261" s="204">
        <f t="shared" si="310"/>
        <v>0</v>
      </c>
      <c r="Z1261" s="204">
        <v>0</v>
      </c>
      <c r="AA1261" s="204">
        <f t="shared" si="319"/>
        <v>0</v>
      </c>
      <c r="AB1261" s="208">
        <f t="shared" si="304"/>
        <v>0</v>
      </c>
      <c r="AC1261" s="209">
        <f t="shared" si="305"/>
        <v>0</v>
      </c>
      <c r="AD1261" s="204">
        <v>0</v>
      </c>
      <c r="AE1261" s="184">
        <v>0</v>
      </c>
      <c r="AF1261" s="205">
        <f t="shared" si="313"/>
        <v>0</v>
      </c>
      <c r="AG1261" s="204">
        <f t="shared" si="318"/>
        <v>0</v>
      </c>
      <c r="AH1261" s="204"/>
      <c r="AI1261" s="204"/>
      <c r="AJ1261" s="124" t="s">
        <v>46</v>
      </c>
    </row>
    <row r="1262" spans="1:36" s="124" customFormat="1" ht="13" hidden="1" x14ac:dyDescent="0.35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1136</v>
      </c>
      <c r="J1262" s="175" t="s">
        <v>1137</v>
      </c>
      <c r="K1262" s="124" t="s">
        <v>1137</v>
      </c>
      <c r="L1262" s="124" t="s">
        <v>167</v>
      </c>
      <c r="M1262" s="204" t="s">
        <v>158</v>
      </c>
      <c r="N1262" s="183">
        <v>0</v>
      </c>
      <c r="O1262" s="184" t="s">
        <v>519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6"/>
        <v>0</v>
      </c>
      <c r="U1262" s="204">
        <f t="shared" si="307"/>
        <v>271800</v>
      </c>
      <c r="V1262" s="204">
        <v>226500</v>
      </c>
      <c r="W1262" s="204">
        <f t="shared" si="308"/>
        <v>45300</v>
      </c>
      <c r="X1262" s="204">
        <f t="shared" si="309"/>
        <v>45300</v>
      </c>
      <c r="Y1262" s="204">
        <f t="shared" si="310"/>
        <v>0</v>
      </c>
      <c r="Z1262" s="204">
        <v>271800</v>
      </c>
      <c r="AA1262" s="204">
        <f t="shared" si="319"/>
        <v>-45300</v>
      </c>
      <c r="AB1262" s="208">
        <f t="shared" si="304"/>
        <v>271800</v>
      </c>
      <c r="AC1262" s="209">
        <f t="shared" si="305"/>
        <v>0</v>
      </c>
      <c r="AD1262" s="204">
        <v>226500</v>
      </c>
      <c r="AE1262" s="184">
        <v>0.1</v>
      </c>
      <c r="AF1262" s="205">
        <f t="shared" si="313"/>
        <v>22650</v>
      </c>
      <c r="AG1262" s="204">
        <f t="shared" si="318"/>
        <v>22650</v>
      </c>
      <c r="AH1262" s="204"/>
      <c r="AI1262" s="204"/>
      <c r="AJ1262" s="124" t="s">
        <v>519</v>
      </c>
    </row>
    <row r="1263" spans="1:36" s="124" customFormat="1" ht="13" hidden="1" x14ac:dyDescent="0.35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759</v>
      </c>
      <c r="G1263" s="124" t="s">
        <v>759</v>
      </c>
      <c r="H1263" s="124" t="s">
        <v>759</v>
      </c>
      <c r="I1263" s="175" t="s">
        <v>1136</v>
      </c>
      <c r="J1263" s="175" t="s">
        <v>1137</v>
      </c>
      <c r="K1263" s="124" t="s">
        <v>1137</v>
      </c>
      <c r="L1263" s="124" t="s">
        <v>759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6"/>
        <v>0</v>
      </c>
      <c r="U1263" s="204">
        <f t="shared" si="307"/>
        <v>633786</v>
      </c>
      <c r="V1263" s="204">
        <v>590929</v>
      </c>
      <c r="W1263" s="204">
        <f t="shared" si="308"/>
        <v>42857</v>
      </c>
      <c r="X1263" s="204">
        <f t="shared" si="309"/>
        <v>42857</v>
      </c>
      <c r="Y1263" s="204">
        <f t="shared" si="310"/>
        <v>0</v>
      </c>
      <c r="Z1263" s="204">
        <v>633786</v>
      </c>
      <c r="AA1263" s="204">
        <f t="shared" si="319"/>
        <v>-42857</v>
      </c>
      <c r="AB1263" s="208">
        <f t="shared" si="304"/>
        <v>633786</v>
      </c>
      <c r="AC1263" s="209">
        <f t="shared" si="305"/>
        <v>0</v>
      </c>
      <c r="AD1263" s="210">
        <v>590929</v>
      </c>
      <c r="AE1263" s="184">
        <v>0.1</v>
      </c>
      <c r="AF1263" s="205">
        <f t="shared" si="313"/>
        <v>59092.9</v>
      </c>
      <c r="AG1263" s="204">
        <f t="shared" si="318"/>
        <v>59092.9</v>
      </c>
      <c r="AH1263" s="204"/>
      <c r="AI1263" s="204"/>
      <c r="AJ1263" s="124" t="s">
        <v>239</v>
      </c>
    </row>
    <row r="1264" spans="1:36" s="124" customFormat="1" ht="13" hidden="1" x14ac:dyDescent="0.35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759</v>
      </c>
      <c r="G1264" s="124" t="s">
        <v>759</v>
      </c>
      <c r="H1264" s="124" t="s">
        <v>759</v>
      </c>
      <c r="I1264" s="175" t="s">
        <v>1136</v>
      </c>
      <c r="J1264" s="175" t="s">
        <v>1137</v>
      </c>
      <c r="K1264" s="124" t="s">
        <v>1137</v>
      </c>
      <c r="L1264" s="124" t="s">
        <v>759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6"/>
        <v>0</v>
      </c>
      <c r="U1264" s="204">
        <f t="shared" si="307"/>
        <v>10000</v>
      </c>
      <c r="V1264" s="204">
        <v>9708.74</v>
      </c>
      <c r="W1264" s="204">
        <f t="shared" si="308"/>
        <v>291.26000000000022</v>
      </c>
      <c r="X1264" s="204">
        <f t="shared" si="309"/>
        <v>291.26000000000022</v>
      </c>
      <c r="Y1264" s="204">
        <f t="shared" si="310"/>
        <v>0</v>
      </c>
      <c r="Z1264" s="204">
        <f>10000-2911</f>
        <v>7089</v>
      </c>
      <c r="AA1264" s="204">
        <f t="shared" si="319"/>
        <v>2619.7399999999998</v>
      </c>
      <c r="AB1264" s="208">
        <f t="shared" si="304"/>
        <v>7089</v>
      </c>
      <c r="AC1264" s="209">
        <f t="shared" si="305"/>
        <v>0</v>
      </c>
      <c r="AD1264" s="204">
        <v>6797.74</v>
      </c>
      <c r="AE1264" s="184">
        <v>0</v>
      </c>
      <c r="AF1264" s="205">
        <f t="shared" si="313"/>
        <v>0</v>
      </c>
      <c r="AG1264" s="204">
        <f t="shared" si="318"/>
        <v>0</v>
      </c>
      <c r="AH1264" s="204"/>
      <c r="AI1264" s="204"/>
      <c r="AJ1264" s="124" t="s">
        <v>46</v>
      </c>
    </row>
    <row r="1265" spans="1:36" s="124" customFormat="1" ht="13" hidden="1" x14ac:dyDescent="0.35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1136</v>
      </c>
      <c r="J1265" s="175" t="s">
        <v>1137</v>
      </c>
      <c r="K1265" s="124" t="s">
        <v>1137</v>
      </c>
      <c r="L1265" s="124" t="s">
        <v>130</v>
      </c>
      <c r="M1265" s="204" t="s">
        <v>158</v>
      </c>
      <c r="N1265" s="184">
        <v>0</v>
      </c>
      <c r="O1265" s="184" t="s">
        <v>1138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6"/>
        <v>0</v>
      </c>
      <c r="U1265" s="204">
        <f t="shared" si="307"/>
        <v>16000</v>
      </c>
      <c r="V1265" s="204">
        <v>16000</v>
      </c>
      <c r="W1265" s="204">
        <f t="shared" si="308"/>
        <v>0</v>
      </c>
      <c r="X1265" s="204">
        <f t="shared" si="309"/>
        <v>0</v>
      </c>
      <c r="Y1265" s="204">
        <f t="shared" si="310"/>
        <v>0</v>
      </c>
      <c r="Z1265" s="204">
        <v>16000</v>
      </c>
      <c r="AA1265" s="204">
        <f t="shared" si="319"/>
        <v>0</v>
      </c>
      <c r="AB1265" s="208">
        <f t="shared" si="304"/>
        <v>16000</v>
      </c>
      <c r="AC1265" s="209">
        <f t="shared" si="305"/>
        <v>0</v>
      </c>
      <c r="AD1265" s="210">
        <v>16000</v>
      </c>
      <c r="AE1265" s="184">
        <v>0.1</v>
      </c>
      <c r="AF1265" s="205">
        <f t="shared" si="313"/>
        <v>1600</v>
      </c>
      <c r="AG1265" s="204">
        <f t="shared" si="318"/>
        <v>1600</v>
      </c>
      <c r="AH1265" s="204"/>
      <c r="AI1265" s="204"/>
      <c r="AJ1265" s="124" t="s">
        <v>1138</v>
      </c>
    </row>
    <row r="1266" spans="1:36" s="124" customFormat="1" ht="13" hidden="1" x14ac:dyDescent="0.35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644</v>
      </c>
      <c r="F1266" s="124" t="s">
        <v>440</v>
      </c>
      <c r="G1266" s="124" t="s">
        <v>440</v>
      </c>
      <c r="H1266" s="124" t="s">
        <v>440</v>
      </c>
      <c r="I1266" s="175" t="s">
        <v>1136</v>
      </c>
      <c r="J1266" s="175" t="s">
        <v>1137</v>
      </c>
      <c r="K1266" s="124" t="s">
        <v>1137</v>
      </c>
      <c r="L1266" s="124" t="s">
        <v>440</v>
      </c>
      <c r="M1266" s="204" t="s">
        <v>158</v>
      </c>
      <c r="N1266" s="183">
        <v>0</v>
      </c>
      <c r="O1266" s="184" t="s">
        <v>1143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6"/>
        <v>0</v>
      </c>
      <c r="U1266" s="204">
        <f t="shared" si="307"/>
        <v>375600</v>
      </c>
      <c r="V1266" s="204">
        <v>313000</v>
      </c>
      <c r="W1266" s="204">
        <f t="shared" si="308"/>
        <v>62600</v>
      </c>
      <c r="X1266" s="204">
        <f t="shared" si="309"/>
        <v>62600</v>
      </c>
      <c r="Y1266" s="204">
        <f t="shared" si="310"/>
        <v>0</v>
      </c>
      <c r="Z1266" s="204">
        <v>375600</v>
      </c>
      <c r="AA1266" s="204">
        <f t="shared" si="319"/>
        <v>-62600</v>
      </c>
      <c r="AB1266" s="208">
        <f t="shared" si="304"/>
        <v>375600</v>
      </c>
      <c r="AC1266" s="209">
        <f t="shared" si="305"/>
        <v>0</v>
      </c>
      <c r="AD1266" s="210">
        <v>313000</v>
      </c>
      <c r="AE1266" s="184">
        <v>0.1</v>
      </c>
      <c r="AF1266" s="205">
        <f t="shared" si="313"/>
        <v>31300</v>
      </c>
      <c r="AG1266" s="204">
        <f t="shared" si="318"/>
        <v>31300</v>
      </c>
      <c r="AH1266" s="204"/>
      <c r="AI1266" s="204"/>
      <c r="AJ1266" s="124" t="s">
        <v>1143</v>
      </c>
    </row>
    <row r="1267" spans="1:36" s="124" customFormat="1" ht="13" hidden="1" x14ac:dyDescent="0.35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1136</v>
      </c>
      <c r="J1267" s="175" t="s">
        <v>1137</v>
      </c>
      <c r="K1267" s="124" t="s">
        <v>1137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6"/>
        <v>0</v>
      </c>
      <c r="U1267" s="204">
        <f t="shared" si="307"/>
        <v>10000</v>
      </c>
      <c r="V1267" s="204">
        <v>9708.7378640776697</v>
      </c>
      <c r="W1267" s="204">
        <f t="shared" si="308"/>
        <v>291.26213592233034</v>
      </c>
      <c r="X1267" s="204">
        <f t="shared" si="309"/>
        <v>291.26213592233034</v>
      </c>
      <c r="Y1267" s="204">
        <f t="shared" si="310"/>
        <v>0</v>
      </c>
      <c r="Z1267" s="204">
        <v>10000</v>
      </c>
      <c r="AA1267" s="204">
        <f t="shared" si="319"/>
        <v>-291.26213592233034</v>
      </c>
      <c r="AB1267" s="208">
        <f t="shared" si="304"/>
        <v>10000</v>
      </c>
      <c r="AC1267" s="209">
        <f t="shared" si="305"/>
        <v>0</v>
      </c>
      <c r="AD1267" s="204">
        <v>9708.7378640776697</v>
      </c>
      <c r="AE1267" s="184">
        <v>0</v>
      </c>
      <c r="AF1267" s="205">
        <f t="shared" si="313"/>
        <v>0</v>
      </c>
      <c r="AG1267" s="204">
        <f t="shared" si="318"/>
        <v>0</v>
      </c>
      <c r="AH1267" s="204"/>
      <c r="AI1267" s="204"/>
      <c r="AJ1267" s="124" t="s">
        <v>46</v>
      </c>
    </row>
    <row r="1268" spans="1:36" s="124" customFormat="1" ht="13" hidden="1" x14ac:dyDescent="0.35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1144</v>
      </c>
      <c r="G1268" s="175" t="s">
        <v>1145</v>
      </c>
      <c r="H1268" s="175" t="s">
        <v>1146</v>
      </c>
      <c r="I1268" s="175" t="s">
        <v>1136</v>
      </c>
      <c r="J1268" s="175" t="s">
        <v>1147</v>
      </c>
      <c r="K1268" s="124" t="s">
        <v>1147</v>
      </c>
      <c r="L1268" s="124" t="s">
        <v>1144</v>
      </c>
      <c r="M1268" s="204" t="s">
        <v>158</v>
      </c>
      <c r="N1268" s="184">
        <v>0</v>
      </c>
      <c r="O1268" s="184" t="s">
        <v>1138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6"/>
        <v>0</v>
      </c>
      <c r="U1268" s="204">
        <f t="shared" si="307"/>
        <v>456573</v>
      </c>
      <c r="V1268" s="204">
        <v>456573</v>
      </c>
      <c r="W1268" s="204">
        <f t="shared" si="308"/>
        <v>0</v>
      </c>
      <c r="X1268" s="204">
        <f t="shared" si="309"/>
        <v>0</v>
      </c>
      <c r="Y1268" s="204">
        <f t="shared" si="310"/>
        <v>0</v>
      </c>
      <c r="Z1268" s="204">
        <v>456573</v>
      </c>
      <c r="AA1268" s="204">
        <f t="shared" si="319"/>
        <v>0</v>
      </c>
      <c r="AB1268" s="208">
        <f t="shared" si="304"/>
        <v>456573</v>
      </c>
      <c r="AC1268" s="209">
        <f t="shared" si="305"/>
        <v>0</v>
      </c>
      <c r="AD1268" s="210">
        <v>456573</v>
      </c>
      <c r="AE1268" s="184">
        <v>0</v>
      </c>
      <c r="AF1268" s="205">
        <f t="shared" si="313"/>
        <v>0</v>
      </c>
      <c r="AG1268" s="204">
        <f t="shared" si="318"/>
        <v>0</v>
      </c>
      <c r="AH1268" s="204"/>
      <c r="AI1268" s="204"/>
      <c r="AJ1268" s="124" t="s">
        <v>1138</v>
      </c>
    </row>
    <row r="1269" spans="1:36" s="124" customFormat="1" ht="13" hidden="1" x14ac:dyDescent="0.35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1136</v>
      </c>
      <c r="J1269" s="175" t="s">
        <v>1147</v>
      </c>
      <c r="K1269" s="124" t="s">
        <v>1147</v>
      </c>
      <c r="L1269" s="124" t="s">
        <v>228</v>
      </c>
      <c r="M1269" s="204" t="s">
        <v>158</v>
      </c>
      <c r="N1269" s="184">
        <v>0</v>
      </c>
      <c r="O1269" s="184" t="s">
        <v>1138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6"/>
        <v>0</v>
      </c>
      <c r="U1269" s="204">
        <f t="shared" si="307"/>
        <v>50500</v>
      </c>
      <c r="V1269" s="204">
        <v>50500</v>
      </c>
      <c r="W1269" s="204">
        <f t="shared" si="308"/>
        <v>0</v>
      </c>
      <c r="X1269" s="204">
        <f t="shared" si="309"/>
        <v>0</v>
      </c>
      <c r="Y1269" s="204">
        <f t="shared" si="310"/>
        <v>0</v>
      </c>
      <c r="Z1269" s="204">
        <v>50500</v>
      </c>
      <c r="AA1269" s="204">
        <f t="shared" si="319"/>
        <v>0</v>
      </c>
      <c r="AB1269" s="208">
        <f t="shared" si="304"/>
        <v>50500</v>
      </c>
      <c r="AC1269" s="209">
        <f t="shared" si="305"/>
        <v>0</v>
      </c>
      <c r="AD1269" s="210">
        <v>50500</v>
      </c>
      <c r="AE1269" s="184">
        <v>0</v>
      </c>
      <c r="AF1269" s="205">
        <f t="shared" si="313"/>
        <v>0</v>
      </c>
      <c r="AG1269" s="204">
        <f t="shared" si="318"/>
        <v>0</v>
      </c>
      <c r="AH1269" s="204"/>
      <c r="AI1269" s="204"/>
      <c r="AJ1269" s="124" t="s">
        <v>1138</v>
      </c>
    </row>
    <row r="1270" spans="1:36" s="124" customFormat="1" ht="13" hidden="1" x14ac:dyDescent="0.35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1148</v>
      </c>
      <c r="G1270" s="124" t="s">
        <v>1149</v>
      </c>
      <c r="H1270" s="124" t="s">
        <v>1150</v>
      </c>
      <c r="I1270" s="175" t="s">
        <v>1136</v>
      </c>
      <c r="J1270" s="175" t="s">
        <v>1147</v>
      </c>
      <c r="K1270" s="124" t="s">
        <v>1147</v>
      </c>
      <c r="L1270" s="124" t="s">
        <v>1148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6"/>
        <v>0</v>
      </c>
      <c r="U1270" s="204">
        <f t="shared" si="307"/>
        <v>70000</v>
      </c>
      <c r="V1270" s="204">
        <v>66666.67</v>
      </c>
      <c r="W1270" s="204">
        <f t="shared" si="308"/>
        <v>3333.3300000000017</v>
      </c>
      <c r="X1270" s="204">
        <f t="shared" si="309"/>
        <v>3333.3300000000017</v>
      </c>
      <c r="Y1270" s="204">
        <f t="shared" si="310"/>
        <v>0</v>
      </c>
      <c r="Z1270" s="204">
        <v>70000</v>
      </c>
      <c r="AA1270" s="204">
        <f t="shared" si="319"/>
        <v>-3333.3300000000017</v>
      </c>
      <c r="AB1270" s="208">
        <f t="shared" si="304"/>
        <v>70000</v>
      </c>
      <c r="AC1270" s="209">
        <f t="shared" si="305"/>
        <v>0</v>
      </c>
      <c r="AD1270" s="210">
        <v>66666.67</v>
      </c>
      <c r="AE1270" s="184">
        <v>0</v>
      </c>
      <c r="AF1270" s="205">
        <f t="shared" si="313"/>
        <v>0</v>
      </c>
      <c r="AG1270" s="204">
        <f t="shared" si="318"/>
        <v>0</v>
      </c>
      <c r="AH1270" s="204"/>
      <c r="AI1270" s="204"/>
      <c r="AJ1270" s="124" t="s">
        <v>46</v>
      </c>
    </row>
    <row r="1271" spans="1:36" s="124" customFormat="1" ht="13" hidden="1" x14ac:dyDescent="0.35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1136</v>
      </c>
      <c r="J1271" s="175" t="s">
        <v>1147</v>
      </c>
      <c r="K1271" s="124" t="s">
        <v>1147</v>
      </c>
      <c r="L1271" s="124" t="s">
        <v>228</v>
      </c>
      <c r="M1271" s="204" t="s">
        <v>158</v>
      </c>
      <c r="N1271" s="184">
        <v>0</v>
      </c>
      <c r="O1271" s="184" t="s">
        <v>1138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6"/>
        <v>0</v>
      </c>
      <c r="U1271" s="204">
        <f t="shared" si="307"/>
        <v>934000</v>
      </c>
      <c r="V1271" s="204">
        <v>934000</v>
      </c>
      <c r="W1271" s="204">
        <f t="shared" si="308"/>
        <v>0</v>
      </c>
      <c r="X1271" s="204">
        <f t="shared" si="309"/>
        <v>0</v>
      </c>
      <c r="Y1271" s="204">
        <f t="shared" si="310"/>
        <v>0</v>
      </c>
      <c r="Z1271" s="204">
        <v>934000</v>
      </c>
      <c r="AA1271" s="204">
        <f t="shared" si="319"/>
        <v>0</v>
      </c>
      <c r="AB1271" s="208">
        <f t="shared" si="304"/>
        <v>934000</v>
      </c>
      <c r="AC1271" s="209">
        <f t="shared" si="305"/>
        <v>0</v>
      </c>
      <c r="AD1271" s="210">
        <v>934000</v>
      </c>
      <c r="AE1271" s="184">
        <v>0</v>
      </c>
      <c r="AF1271" s="205">
        <f t="shared" si="313"/>
        <v>0</v>
      </c>
      <c r="AG1271" s="204">
        <f t="shared" si="318"/>
        <v>0</v>
      </c>
      <c r="AH1271" s="204"/>
      <c r="AI1271" s="204"/>
      <c r="AJ1271" s="124" t="s">
        <v>1138</v>
      </c>
    </row>
    <row r="1272" spans="1:36" s="124" customFormat="1" ht="13" hidden="1" x14ac:dyDescent="0.35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1136</v>
      </c>
      <c r="J1272" s="175" t="s">
        <v>1147</v>
      </c>
      <c r="K1272" s="124" t="s">
        <v>1147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6"/>
        <v>0</v>
      </c>
      <c r="U1272" s="204">
        <f t="shared" si="307"/>
        <v>18000</v>
      </c>
      <c r="V1272" s="204">
        <v>17142.86</v>
      </c>
      <c r="W1272" s="204">
        <f t="shared" si="308"/>
        <v>857.13999999999942</v>
      </c>
      <c r="X1272" s="204">
        <f t="shared" si="309"/>
        <v>857.13999999999942</v>
      </c>
      <c r="Y1272" s="204">
        <f t="shared" si="310"/>
        <v>0</v>
      </c>
      <c r="Z1272" s="204">
        <v>18000</v>
      </c>
      <c r="AA1272" s="204">
        <f t="shared" si="319"/>
        <v>-857.13999999999942</v>
      </c>
      <c r="AB1272" s="208">
        <f t="shared" si="304"/>
        <v>18000</v>
      </c>
      <c r="AC1272" s="209">
        <f t="shared" si="305"/>
        <v>0</v>
      </c>
      <c r="AD1272" s="204">
        <v>17142.86</v>
      </c>
      <c r="AE1272" s="184">
        <v>0</v>
      </c>
      <c r="AF1272" s="205">
        <f t="shared" si="313"/>
        <v>0</v>
      </c>
      <c r="AG1272" s="204">
        <f t="shared" si="318"/>
        <v>0</v>
      </c>
      <c r="AH1272" s="204"/>
      <c r="AI1272" s="204"/>
      <c r="AJ1272" s="124" t="s">
        <v>46</v>
      </c>
    </row>
    <row r="1273" spans="1:36" s="124" customFormat="1" ht="13" hidden="1" x14ac:dyDescent="0.35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1151</v>
      </c>
      <c r="J1273" s="175" t="s">
        <v>1152</v>
      </c>
      <c r="K1273" s="124" t="s">
        <v>1152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4"/>
        <v>19607.843137254902</v>
      </c>
      <c r="AC1273" s="209">
        <f t="shared" si="305"/>
        <v>392.1568627450979</v>
      </c>
      <c r="AD1273" s="204">
        <v>16540</v>
      </c>
      <c r="AE1273" s="184">
        <v>0</v>
      </c>
      <c r="AF1273" s="205">
        <f t="shared" si="313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3" hidden="1" x14ac:dyDescent="0.35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1153</v>
      </c>
      <c r="G1274" s="124" t="s">
        <v>1154</v>
      </c>
      <c r="H1274" s="124" t="s">
        <v>1154</v>
      </c>
      <c r="I1274" s="175" t="s">
        <v>1151</v>
      </c>
      <c r="J1274" s="175" t="s">
        <v>1152</v>
      </c>
      <c r="K1274" s="124" t="s">
        <v>1152</v>
      </c>
      <c r="L1274" s="124" t="s">
        <v>1153</v>
      </c>
      <c r="M1274" s="124" t="s">
        <v>45</v>
      </c>
      <c r="N1274" s="184">
        <v>0</v>
      </c>
      <c r="O1274" s="184" t="s">
        <v>1134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4"/>
        <v>85000</v>
      </c>
      <c r="AC1274" s="209">
        <f t="shared" si="305"/>
        <v>0</v>
      </c>
      <c r="AD1274" s="204">
        <v>70295</v>
      </c>
      <c r="AE1274" s="184">
        <v>0</v>
      </c>
      <c r="AF1274" s="205">
        <f t="shared" si="313"/>
        <v>0</v>
      </c>
      <c r="AG1274" s="204">
        <v>0</v>
      </c>
      <c r="AH1274" s="204"/>
      <c r="AI1274" s="204"/>
      <c r="AJ1274" s="124" t="s">
        <v>1134</v>
      </c>
    </row>
    <row r="1275" spans="1:36" s="124" customFormat="1" ht="13" hidden="1" x14ac:dyDescent="0.35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1151</v>
      </c>
      <c r="J1275" s="175" t="s">
        <v>1155</v>
      </c>
      <c r="K1275" s="124" t="s">
        <v>1155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4"/>
        <v>20000</v>
      </c>
      <c r="AC1275" s="209">
        <f t="shared" si="305"/>
        <v>0</v>
      </c>
      <c r="AD1275" s="204">
        <v>16540</v>
      </c>
      <c r="AE1275" s="184">
        <v>0</v>
      </c>
      <c r="AF1275" s="205">
        <f t="shared" si="313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3" hidden="1" x14ac:dyDescent="0.35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1151</v>
      </c>
      <c r="J1276" s="175" t="s">
        <v>1155</v>
      </c>
      <c r="K1276" s="124" t="s">
        <v>1155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5"/>
        <v>0</v>
      </c>
      <c r="AD1276" s="204">
        <v>347340</v>
      </c>
      <c r="AE1276" s="184">
        <v>0</v>
      </c>
      <c r="AF1276" s="205">
        <f t="shared" si="313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3" hidden="1" x14ac:dyDescent="0.35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531</v>
      </c>
      <c r="G1277" s="124" t="s">
        <v>531</v>
      </c>
      <c r="H1277" s="124" t="s">
        <v>531</v>
      </c>
      <c r="I1277" s="175" t="s">
        <v>1151</v>
      </c>
      <c r="J1277" s="175" t="s">
        <v>1156</v>
      </c>
      <c r="K1277" s="124" t="s">
        <v>1156</v>
      </c>
      <c r="L1277" s="124" t="s">
        <v>531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4"/>
        <v>10000</v>
      </c>
      <c r="AC1277" s="209">
        <f t="shared" si="305"/>
        <v>0</v>
      </c>
      <c r="AD1277" s="204">
        <v>8270</v>
      </c>
      <c r="AE1277" s="184">
        <v>0</v>
      </c>
      <c r="AF1277" s="205">
        <f t="shared" si="313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3" hidden="1" x14ac:dyDescent="0.35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473</v>
      </c>
      <c r="G1278" s="124" t="s">
        <v>1157</v>
      </c>
      <c r="H1278" s="124" t="s">
        <v>1157</v>
      </c>
      <c r="I1278" s="175" t="s">
        <v>1151</v>
      </c>
      <c r="J1278" s="175" t="s">
        <v>1156</v>
      </c>
      <c r="K1278" s="124" t="s">
        <v>1156</v>
      </c>
      <c r="L1278" s="124" t="s">
        <v>473</v>
      </c>
      <c r="M1278" s="204" t="s">
        <v>158</v>
      </c>
      <c r="N1278" s="184">
        <v>0.02</v>
      </c>
      <c r="O1278" s="184" t="s">
        <v>1086</v>
      </c>
      <c r="P1278" s="184" t="s">
        <v>492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4"/>
        <v>3200437.5</v>
      </c>
      <c r="AC1278" s="209">
        <f t="shared" si="305"/>
        <v>64008.75</v>
      </c>
      <c r="AD1278" s="204">
        <v>2646761.8125</v>
      </c>
      <c r="AE1278" s="184">
        <v>0</v>
      </c>
      <c r="AF1278" s="205">
        <f t="shared" si="313"/>
        <v>0</v>
      </c>
      <c r="AG1278" s="204">
        <v>97268.198529411602</v>
      </c>
      <c r="AH1278" s="204"/>
      <c r="AI1278" s="204"/>
      <c r="AJ1278" s="124" t="s">
        <v>1086</v>
      </c>
    </row>
    <row r="1279" spans="1:36" s="124" customFormat="1" ht="13" hidden="1" x14ac:dyDescent="0.35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473</v>
      </c>
      <c r="G1279" s="124" t="s">
        <v>1158</v>
      </c>
      <c r="H1279" s="124" t="s">
        <v>1158</v>
      </c>
      <c r="I1279" s="175" t="s">
        <v>1151</v>
      </c>
      <c r="J1279" s="175" t="s">
        <v>1156</v>
      </c>
      <c r="K1279" s="124" t="s">
        <v>1156</v>
      </c>
      <c r="L1279" s="124" t="s">
        <v>473</v>
      </c>
      <c r="M1279" s="204" t="s">
        <v>183</v>
      </c>
      <c r="N1279" s="184">
        <v>0.02</v>
      </c>
      <c r="O1279" s="184" t="s">
        <v>1086</v>
      </c>
      <c r="P1279" s="184" t="s">
        <v>492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4"/>
        <v>768759.84</v>
      </c>
      <c r="AC1279" s="209">
        <f t="shared" si="305"/>
        <v>15375.1968</v>
      </c>
      <c r="AD1279" s="204">
        <v>635764.38768000004</v>
      </c>
      <c r="AE1279" s="184">
        <v>0</v>
      </c>
      <c r="AF1279" s="205">
        <f t="shared" si="313"/>
        <v>0</v>
      </c>
      <c r="AG1279" s="204">
        <v>61802.261647058796</v>
      </c>
      <c r="AH1279" s="204"/>
      <c r="AI1279" s="204"/>
      <c r="AJ1279" s="124" t="s">
        <v>1086</v>
      </c>
    </row>
    <row r="1280" spans="1:36" s="124" customFormat="1" ht="13" hidden="1" x14ac:dyDescent="0.35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473</v>
      </c>
      <c r="G1280" s="124" t="s">
        <v>1158</v>
      </c>
      <c r="H1280" s="124" t="s">
        <v>1158</v>
      </c>
      <c r="I1280" s="175" t="s">
        <v>1151</v>
      </c>
      <c r="J1280" s="175" t="s">
        <v>1156</v>
      </c>
      <c r="K1280" s="124" t="s">
        <v>1156</v>
      </c>
      <c r="L1280" s="124" t="s">
        <v>473</v>
      </c>
      <c r="M1280" s="204" t="s">
        <v>158</v>
      </c>
      <c r="N1280" s="184">
        <v>0.02</v>
      </c>
      <c r="O1280" s="184" t="s">
        <v>1086</v>
      </c>
      <c r="P1280" s="184" t="s">
        <v>492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20">IF(P1280="返货",Z1280/(1+N1280),IF(P1280="返现",Z1280,IF(P1280="折扣",Z1280*N1280,IF(P1280="无",Z1280))))</f>
        <v>2273.4</v>
      </c>
      <c r="AC1280" s="209">
        <f t="shared" ref="AC1280:AC1343" si="321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3"/>
        <v>0</v>
      </c>
      <c r="AG1280" s="204">
        <v>69.093529411764806</v>
      </c>
      <c r="AH1280" s="204"/>
      <c r="AI1280" s="204"/>
      <c r="AJ1280" s="124" t="s">
        <v>1086</v>
      </c>
    </row>
    <row r="1281" spans="1:36" s="124" customFormat="1" ht="13" hidden="1" x14ac:dyDescent="0.35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473</v>
      </c>
      <c r="G1281" s="124" t="s">
        <v>1158</v>
      </c>
      <c r="H1281" s="124" t="s">
        <v>1158</v>
      </c>
      <c r="I1281" s="175" t="s">
        <v>1151</v>
      </c>
      <c r="J1281" s="175" t="s">
        <v>1156</v>
      </c>
      <c r="K1281" s="124" t="s">
        <v>1156</v>
      </c>
      <c r="L1281" s="124" t="s">
        <v>473</v>
      </c>
      <c r="M1281" s="204" t="s">
        <v>181</v>
      </c>
      <c r="N1281" s="184">
        <v>0.02</v>
      </c>
      <c r="O1281" s="184" t="s">
        <v>1086</v>
      </c>
      <c r="P1281" s="184" t="s">
        <v>492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20"/>
        <v>1596000</v>
      </c>
      <c r="AC1281" s="209">
        <f t="shared" si="321"/>
        <v>31920</v>
      </c>
      <c r="AD1281" s="204">
        <v>1319892</v>
      </c>
      <c r="AE1281" s="184">
        <v>0</v>
      </c>
      <c r="AF1281" s="205">
        <f t="shared" si="313"/>
        <v>0</v>
      </c>
      <c r="AG1281" s="204">
        <v>208105.882352941</v>
      </c>
      <c r="AH1281" s="204"/>
      <c r="AI1281" s="204"/>
      <c r="AJ1281" s="124" t="s">
        <v>1086</v>
      </c>
    </row>
    <row r="1282" spans="1:36" s="124" customFormat="1" ht="13" hidden="1" x14ac:dyDescent="0.35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1155</v>
      </c>
      <c r="G1282" s="124" t="s">
        <v>1159</v>
      </c>
      <c r="H1282" s="124" t="s">
        <v>1159</v>
      </c>
      <c r="I1282" s="175" t="s">
        <v>1151</v>
      </c>
      <c r="J1282" s="175" t="s">
        <v>1156</v>
      </c>
      <c r="K1282" s="124" t="s">
        <v>1156</v>
      </c>
      <c r="L1282" s="124" t="s">
        <v>1155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20"/>
        <v>1593676.1904761903</v>
      </c>
      <c r="AC1282" s="209">
        <f t="shared" si="321"/>
        <v>79683.809523809701</v>
      </c>
      <c r="AD1282" s="204">
        <v>1383868.72</v>
      </c>
      <c r="AE1282" s="184">
        <v>0</v>
      </c>
      <c r="AF1282" s="205">
        <f t="shared" si="313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" hidden="1" x14ac:dyDescent="0.35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891</v>
      </c>
      <c r="G1283" s="175" t="s">
        <v>891</v>
      </c>
      <c r="H1283" s="175" t="s">
        <v>891</v>
      </c>
      <c r="I1283" s="175" t="s">
        <v>1151</v>
      </c>
      <c r="J1283" s="175" t="s">
        <v>1156</v>
      </c>
      <c r="K1283" s="175" t="s">
        <v>1156</v>
      </c>
      <c r="L1283" s="175" t="s">
        <v>891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1"/>
        <v>1455</v>
      </c>
      <c r="AD1283" s="204">
        <v>41350</v>
      </c>
      <c r="AE1283" s="184">
        <v>0</v>
      </c>
      <c r="AF1283" s="205">
        <f t="shared" si="313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3" hidden="1" x14ac:dyDescent="0.35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1151</v>
      </c>
      <c r="J1284" s="175" t="s">
        <v>1156</v>
      </c>
      <c r="K1284" s="124" t="s">
        <v>1156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20"/>
        <v>45840.196078431371</v>
      </c>
      <c r="AC1284" s="209">
        <f t="shared" si="321"/>
        <v>916.80392156862945</v>
      </c>
      <c r="AD1284" s="204">
        <v>38668.038999999997</v>
      </c>
      <c r="AE1284" s="184">
        <v>0</v>
      </c>
      <c r="AF1284" s="205">
        <f t="shared" si="313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3" hidden="1" x14ac:dyDescent="0.35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1151</v>
      </c>
      <c r="J1285" s="175" t="s">
        <v>1156</v>
      </c>
      <c r="K1285" s="124" t="s">
        <v>1156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20"/>
        <v>1761876.9607843137</v>
      </c>
      <c r="AC1285" s="209">
        <f t="shared" si="321"/>
        <v>35237.539215686265</v>
      </c>
      <c r="AD1285" s="204">
        <v>1486213.6915</v>
      </c>
      <c r="AE1285" s="184">
        <v>0</v>
      </c>
      <c r="AF1285" s="205">
        <f t="shared" si="313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3" hidden="1" x14ac:dyDescent="0.35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1160</v>
      </c>
      <c r="G1286" s="124" t="s">
        <v>1161</v>
      </c>
      <c r="H1286" s="124" t="s">
        <v>1161</v>
      </c>
      <c r="I1286" s="175" t="s">
        <v>1151</v>
      </c>
      <c r="J1286" s="175" t="s">
        <v>1156</v>
      </c>
      <c r="K1286" s="124" t="s">
        <v>1156</v>
      </c>
      <c r="L1286" s="124" t="s">
        <v>1160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20"/>
        <v>5000</v>
      </c>
      <c r="AC1286" s="209">
        <f t="shared" si="321"/>
        <v>0</v>
      </c>
      <c r="AD1286" s="204">
        <v>4135</v>
      </c>
      <c r="AE1286" s="184">
        <v>0</v>
      </c>
      <c r="AF1286" s="205">
        <f t="shared" si="313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" hidden="1" x14ac:dyDescent="0.35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486</v>
      </c>
      <c r="G1287" s="124" t="s">
        <v>486</v>
      </c>
      <c r="H1287" s="124" t="s">
        <v>486</v>
      </c>
      <c r="I1287" s="175" t="s">
        <v>1151</v>
      </c>
      <c r="J1287" s="175" t="s">
        <v>1156</v>
      </c>
      <c r="K1287" s="124" t="s">
        <v>1156</v>
      </c>
      <c r="L1287" s="124" t="s">
        <v>486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20"/>
        <v>36363.63636363636</v>
      </c>
      <c r="AC1287" s="209">
        <f t="shared" si="321"/>
        <v>3636.3636363636397</v>
      </c>
      <c r="AD1287" s="204">
        <v>33080</v>
      </c>
      <c r="AE1287" s="184">
        <v>0</v>
      </c>
      <c r="AF1287" s="205">
        <f t="shared" si="313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3" hidden="1" x14ac:dyDescent="0.35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1151</v>
      </c>
      <c r="J1288" s="175" t="s">
        <v>1156</v>
      </c>
      <c r="K1288" s="124" t="s">
        <v>1156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20"/>
        <v>10000</v>
      </c>
      <c r="AC1288" s="209">
        <f t="shared" si="321"/>
        <v>0</v>
      </c>
      <c r="AD1288" s="204">
        <v>8270</v>
      </c>
      <c r="AE1288" s="184">
        <v>0</v>
      </c>
      <c r="AF1288" s="205">
        <f t="shared" ref="AF1288:AF1351" si="322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" hidden="1" x14ac:dyDescent="0.35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544</v>
      </c>
      <c r="G1289" s="175" t="s">
        <v>545</v>
      </c>
      <c r="H1289" s="176" t="s">
        <v>546</v>
      </c>
      <c r="I1289" s="175" t="s">
        <v>1151</v>
      </c>
      <c r="J1289" s="175" t="s">
        <v>1156</v>
      </c>
      <c r="K1289" s="124" t="s">
        <v>1156</v>
      </c>
      <c r="L1289" s="124" t="s">
        <v>544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20"/>
        <v>100359</v>
      </c>
      <c r="AC1289" s="209">
        <f t="shared" si="321"/>
        <v>0</v>
      </c>
      <c r="AD1289" s="204">
        <v>82996.892999999996</v>
      </c>
      <c r="AE1289" s="184">
        <v>0</v>
      </c>
      <c r="AF1289" s="205">
        <f t="shared" si="322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3" hidden="1" x14ac:dyDescent="0.35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1151</v>
      </c>
      <c r="J1290" s="175" t="s">
        <v>1156</v>
      </c>
      <c r="K1290" s="124" t="s">
        <v>1156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20"/>
        <v>35000</v>
      </c>
      <c r="AC1290" s="209">
        <f t="shared" si="321"/>
        <v>0</v>
      </c>
      <c r="AD1290" s="204">
        <v>28945</v>
      </c>
      <c r="AE1290" s="184">
        <v>0</v>
      </c>
      <c r="AF1290" s="205">
        <f t="shared" si="322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3" hidden="1" x14ac:dyDescent="0.35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808</v>
      </c>
      <c r="F1291" s="124" t="s">
        <v>200</v>
      </c>
      <c r="G1291" s="124" t="s">
        <v>201</v>
      </c>
      <c r="H1291" s="124" t="s">
        <v>201</v>
      </c>
      <c r="I1291" s="175" t="s">
        <v>1151</v>
      </c>
      <c r="J1291" s="175" t="s">
        <v>1156</v>
      </c>
      <c r="K1291" s="124" t="s">
        <v>1156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20"/>
        <v>238095.23809523808</v>
      </c>
      <c r="AC1291" s="209">
        <f t="shared" si="321"/>
        <v>11904.761904761923</v>
      </c>
      <c r="AD1291" s="204">
        <v>206750</v>
      </c>
      <c r="AE1291" s="184">
        <v>0</v>
      </c>
      <c r="AF1291" s="205">
        <f t="shared" si="322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3" hidden="1" x14ac:dyDescent="0.35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1151</v>
      </c>
      <c r="J1292" s="175" t="s">
        <v>1156</v>
      </c>
      <c r="K1292" s="124" t="s">
        <v>1156</v>
      </c>
      <c r="L1292" s="124" t="s">
        <v>1162</v>
      </c>
      <c r="M1292" s="204" t="s">
        <v>158</v>
      </c>
      <c r="N1292" s="214">
        <v>0.78400000000000003</v>
      </c>
      <c r="O1292" s="184" t="s">
        <v>1163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v>1702089.66</v>
      </c>
      <c r="AC1292" s="209">
        <f t="shared" si="321"/>
        <v>22201.340000000084</v>
      </c>
      <c r="AD1292" s="204">
        <v>1425988.6569999999</v>
      </c>
      <c r="AE1292" s="184">
        <v>0</v>
      </c>
      <c r="AF1292" s="205">
        <f t="shared" si="322"/>
        <v>0</v>
      </c>
      <c r="AG1292" s="204">
        <v>83943.35</v>
      </c>
      <c r="AH1292" s="204"/>
      <c r="AI1292" s="204"/>
      <c r="AJ1292" s="124" t="s">
        <v>1163</v>
      </c>
    </row>
    <row r="1293" spans="1:36" s="124" customFormat="1" ht="13" hidden="1" x14ac:dyDescent="0.35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1164</v>
      </c>
      <c r="G1293" s="124" t="s">
        <v>1164</v>
      </c>
      <c r="H1293" s="124" t="s">
        <v>1164</v>
      </c>
      <c r="I1293" s="175" t="s">
        <v>1151</v>
      </c>
      <c r="J1293" s="175" t="s">
        <v>1156</v>
      </c>
      <c r="K1293" s="124" t="s">
        <v>1156</v>
      </c>
      <c r="L1293" s="124" t="s">
        <v>1164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20"/>
        <v>9803.9215686274511</v>
      </c>
      <c r="AC1293" s="209">
        <f t="shared" si="321"/>
        <v>196.07843137254895</v>
      </c>
      <c r="AD1293" s="204">
        <v>8270</v>
      </c>
      <c r="AE1293" s="184">
        <v>0</v>
      </c>
      <c r="AF1293" s="205">
        <f t="shared" si="322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3" hidden="1" x14ac:dyDescent="0.35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1165</v>
      </c>
      <c r="G1294" s="124" t="s">
        <v>1165</v>
      </c>
      <c r="H1294" s="124" t="s">
        <v>1165</v>
      </c>
      <c r="I1294" s="175" t="s">
        <v>1151</v>
      </c>
      <c r="J1294" s="175" t="s">
        <v>1156</v>
      </c>
      <c r="K1294" s="124" t="s">
        <v>1156</v>
      </c>
      <c r="L1294" s="124" t="s">
        <v>1165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20"/>
        <v>20000</v>
      </c>
      <c r="AC1294" s="209">
        <f t="shared" si="321"/>
        <v>0</v>
      </c>
      <c r="AD1294" s="204">
        <v>16540</v>
      </c>
      <c r="AE1294" s="184">
        <v>0</v>
      </c>
      <c r="AF1294" s="205">
        <f t="shared" si="322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3" hidden="1" x14ac:dyDescent="0.35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1151</v>
      </c>
      <c r="J1295" s="175" t="s">
        <v>1156</v>
      </c>
      <c r="K1295" s="124" t="s">
        <v>1156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20"/>
        <v>120000</v>
      </c>
      <c r="AC1295" s="209">
        <f t="shared" si="321"/>
        <v>0</v>
      </c>
      <c r="AD1295" s="204">
        <v>99240</v>
      </c>
      <c r="AE1295" s="184">
        <v>0</v>
      </c>
      <c r="AF1295" s="205">
        <f t="shared" si="322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3" hidden="1" x14ac:dyDescent="0.35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427</v>
      </c>
      <c r="G1296" s="124" t="s">
        <v>427</v>
      </c>
      <c r="H1296" s="124" t="s">
        <v>427</v>
      </c>
      <c r="I1296" s="175" t="s">
        <v>1151</v>
      </c>
      <c r="J1296" s="175" t="s">
        <v>1156</v>
      </c>
      <c r="K1296" s="124" t="s">
        <v>1156</v>
      </c>
      <c r="L1296" s="124" t="s">
        <v>427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1"/>
        <v>0</v>
      </c>
      <c r="AD1296" s="204">
        <v>4135</v>
      </c>
      <c r="AE1296" s="184">
        <v>0</v>
      </c>
      <c r="AF1296" s="205">
        <f t="shared" si="322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3" hidden="1" x14ac:dyDescent="0.35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1166</v>
      </c>
      <c r="G1297" s="124" t="s">
        <v>1167</v>
      </c>
      <c r="H1297" s="124" t="s">
        <v>1167</v>
      </c>
      <c r="I1297" s="175" t="s">
        <v>1151</v>
      </c>
      <c r="J1297" s="175" t="s">
        <v>1156</v>
      </c>
      <c r="K1297" s="124" t="s">
        <v>1156</v>
      </c>
      <c r="L1297" s="124" t="s">
        <v>1166</v>
      </c>
      <c r="M1297" s="204" t="s">
        <v>45</v>
      </c>
      <c r="N1297" s="184">
        <v>0.02</v>
      </c>
      <c r="O1297" s="184" t="s">
        <v>1086</v>
      </c>
      <c r="P1297" s="184" t="s">
        <v>492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20"/>
        <v>200000</v>
      </c>
      <c r="AC1297" s="209">
        <f t="shared" si="321"/>
        <v>4000</v>
      </c>
      <c r="AD1297" s="204">
        <v>165400</v>
      </c>
      <c r="AE1297" s="184">
        <v>0</v>
      </c>
      <c r="AF1297" s="205">
        <f t="shared" si="322"/>
        <v>0</v>
      </c>
      <c r="AG1297" s="204">
        <v>16078.431372548999</v>
      </c>
      <c r="AH1297" s="204"/>
      <c r="AI1297" s="204"/>
      <c r="AJ1297" s="124" t="s">
        <v>1086</v>
      </c>
    </row>
    <row r="1298" spans="1:38" s="124" customFormat="1" ht="13" hidden="1" x14ac:dyDescent="0.35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1166</v>
      </c>
      <c r="G1298" s="124" t="s">
        <v>1167</v>
      </c>
      <c r="H1298" s="124" t="s">
        <v>1167</v>
      </c>
      <c r="I1298" s="175" t="s">
        <v>1151</v>
      </c>
      <c r="J1298" s="175" t="s">
        <v>1156</v>
      </c>
      <c r="K1298" s="124" t="s">
        <v>1156</v>
      </c>
      <c r="L1298" s="124" t="s">
        <v>1166</v>
      </c>
      <c r="M1298" s="204" t="s">
        <v>158</v>
      </c>
      <c r="N1298" s="184">
        <v>0.02</v>
      </c>
      <c r="O1298" s="184" t="s">
        <v>1086</v>
      </c>
      <c r="P1298" s="184" t="s">
        <v>492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20"/>
        <v>9000</v>
      </c>
      <c r="AC1298" s="209">
        <f t="shared" si="321"/>
        <v>180</v>
      </c>
      <c r="AD1298" s="204">
        <v>7443</v>
      </c>
      <c r="AE1298" s="184">
        <v>0</v>
      </c>
      <c r="AF1298" s="205">
        <f t="shared" si="322"/>
        <v>0</v>
      </c>
      <c r="AG1298" s="204">
        <v>273.52941176470603</v>
      </c>
      <c r="AH1298" s="204"/>
      <c r="AI1298" s="204"/>
      <c r="AJ1298" s="124" t="s">
        <v>1086</v>
      </c>
    </row>
    <row r="1299" spans="1:38" s="125" customFormat="1" ht="13" hidden="1" x14ac:dyDescent="0.35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465</v>
      </c>
      <c r="F1299" s="124" t="s">
        <v>1168</v>
      </c>
      <c r="G1299" s="124" t="s">
        <v>1168</v>
      </c>
      <c r="H1299" s="124" t="s">
        <v>1168</v>
      </c>
      <c r="I1299" s="175" t="s">
        <v>1169</v>
      </c>
      <c r="J1299" s="176" t="s">
        <v>43</v>
      </c>
      <c r="K1299" s="124" t="s">
        <v>1170</v>
      </c>
      <c r="L1299" s="124" t="s">
        <v>1171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20"/>
        <v>10000</v>
      </c>
      <c r="AC1299" s="209">
        <f t="shared" si="321"/>
        <v>0</v>
      </c>
      <c r="AD1299" s="216">
        <v>10000</v>
      </c>
      <c r="AE1299" s="217">
        <v>0</v>
      </c>
      <c r="AF1299" s="204">
        <f t="shared" si="322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3" hidden="1" x14ac:dyDescent="0.35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1169</v>
      </c>
      <c r="J1300" s="176" t="s">
        <v>43</v>
      </c>
      <c r="K1300" s="124" t="s">
        <v>1170</v>
      </c>
      <c r="L1300" s="124" t="s">
        <v>1172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20"/>
        <v>20000</v>
      </c>
      <c r="AC1300" s="209">
        <f t="shared" si="321"/>
        <v>0</v>
      </c>
      <c r="AD1300" s="216">
        <v>20000</v>
      </c>
      <c r="AE1300" s="217">
        <v>0</v>
      </c>
      <c r="AF1300" s="204">
        <f t="shared" si="322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3" hidden="1" x14ac:dyDescent="0.35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1173</v>
      </c>
      <c r="G1301" s="212" t="s">
        <v>1173</v>
      </c>
      <c r="H1301" s="212" t="s">
        <v>1173</v>
      </c>
      <c r="I1301" s="175" t="s">
        <v>1169</v>
      </c>
      <c r="J1301" s="176" t="s">
        <v>43</v>
      </c>
      <c r="K1301" s="212" t="s">
        <v>1170</v>
      </c>
      <c r="L1301" s="212" t="s">
        <v>1174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20"/>
        <v>7252.2</v>
      </c>
      <c r="AC1301" s="209">
        <f t="shared" si="321"/>
        <v>0</v>
      </c>
      <c r="AD1301" s="218">
        <v>7110</v>
      </c>
      <c r="AE1301" s="217">
        <v>0</v>
      </c>
      <c r="AF1301" s="204">
        <f t="shared" si="322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3" hidden="1" x14ac:dyDescent="0.35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1175</v>
      </c>
      <c r="G1302" s="124" t="s">
        <v>1175</v>
      </c>
      <c r="H1302" s="124" t="s">
        <v>1175</v>
      </c>
      <c r="I1302" s="175" t="s">
        <v>1169</v>
      </c>
      <c r="J1302" s="176" t="s">
        <v>43</v>
      </c>
      <c r="K1302" s="124" t="s">
        <v>1170</v>
      </c>
      <c r="L1302" s="124" t="s">
        <v>1176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20"/>
        <v>38525.490196078434</v>
      </c>
      <c r="AC1302" s="209">
        <f t="shared" si="321"/>
        <v>770.50980392156634</v>
      </c>
      <c r="AD1302" s="216">
        <v>38525.490196078397</v>
      </c>
      <c r="AE1302" s="217">
        <v>0</v>
      </c>
      <c r="AF1302" s="204">
        <f t="shared" si="322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3" hidden="1" x14ac:dyDescent="0.35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1175</v>
      </c>
      <c r="G1303" s="124" t="s">
        <v>1175</v>
      </c>
      <c r="H1303" s="124" t="s">
        <v>1175</v>
      </c>
      <c r="I1303" s="175" t="s">
        <v>1169</v>
      </c>
      <c r="J1303" s="176" t="s">
        <v>43</v>
      </c>
      <c r="K1303" s="124" t="s">
        <v>1170</v>
      </c>
      <c r="L1303" s="124" t="s">
        <v>1176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20"/>
        <v>1446.1538461538462</v>
      </c>
      <c r="AC1303" s="209">
        <f t="shared" si="321"/>
        <v>57.846153846153811</v>
      </c>
      <c r="AD1303" s="216">
        <v>1446.1538461538501</v>
      </c>
      <c r="AE1303" s="217">
        <v>0</v>
      </c>
      <c r="AF1303" s="204">
        <f t="shared" si="322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3" hidden="1" x14ac:dyDescent="0.35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977</v>
      </c>
      <c r="G1304" s="124" t="s">
        <v>977</v>
      </c>
      <c r="H1304" s="124" t="s">
        <v>977</v>
      </c>
      <c r="I1304" s="175" t="s">
        <v>1169</v>
      </c>
      <c r="J1304" s="176" t="s">
        <v>43</v>
      </c>
      <c r="K1304" s="124" t="s">
        <v>1170</v>
      </c>
      <c r="L1304" s="124" t="s">
        <v>1177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1"/>
        <v>-28808.43</v>
      </c>
      <c r="AD1304" s="216">
        <v>10761.125</v>
      </c>
      <c r="AE1304" s="217">
        <v>0</v>
      </c>
      <c r="AF1304" s="204">
        <f t="shared" si="322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3" hidden="1" x14ac:dyDescent="0.35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1169</v>
      </c>
      <c r="J1305" s="176" t="s">
        <v>43</v>
      </c>
      <c r="K1305" s="212" t="s">
        <v>1170</v>
      </c>
      <c r="L1305" s="212" t="s">
        <v>1178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20"/>
        <v>255507.45098039217</v>
      </c>
      <c r="AC1305" s="209">
        <f t="shared" si="321"/>
        <v>5110.1490196078375</v>
      </c>
      <c r="AD1305" s="218">
        <v>255507.45098039199</v>
      </c>
      <c r="AE1305" s="217">
        <v>0</v>
      </c>
      <c r="AF1305" s="204">
        <f t="shared" si="322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3" hidden="1" x14ac:dyDescent="0.35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1179</v>
      </c>
      <c r="G1306" s="212" t="s">
        <v>1179</v>
      </c>
      <c r="H1306" s="212" t="s">
        <v>1179</v>
      </c>
      <c r="I1306" s="175" t="s">
        <v>1169</v>
      </c>
      <c r="J1306" s="176" t="s">
        <v>43</v>
      </c>
      <c r="K1306" s="212" t="s">
        <v>1170</v>
      </c>
      <c r="L1306" s="124" t="s">
        <v>1180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20"/>
        <v>406134.52830188675</v>
      </c>
      <c r="AC1306" s="209">
        <f t="shared" si="321"/>
        <v>24368.071698113228</v>
      </c>
      <c r="AD1306" s="218">
        <v>406134.52830188698</v>
      </c>
      <c r="AE1306" s="217">
        <v>0</v>
      </c>
      <c r="AF1306" s="204">
        <f t="shared" si="322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3" hidden="1" x14ac:dyDescent="0.35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929</v>
      </c>
      <c r="G1307" s="124" t="s">
        <v>929</v>
      </c>
      <c r="H1307" s="124" t="s">
        <v>929</v>
      </c>
      <c r="I1307" s="175" t="s">
        <v>1169</v>
      </c>
      <c r="J1307" s="176" t="s">
        <v>43</v>
      </c>
      <c r="K1307" s="124" t="s">
        <v>1170</v>
      </c>
      <c r="L1307" s="124" t="s">
        <v>1181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20"/>
        <v>489532.6470588235</v>
      </c>
      <c r="AC1307" s="209">
        <f t="shared" si="321"/>
        <v>9790.6529411764932</v>
      </c>
      <c r="AD1307" s="216">
        <v>489532.64705882297</v>
      </c>
      <c r="AE1307" s="217">
        <v>0</v>
      </c>
      <c r="AF1307" s="204">
        <f t="shared" si="322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3" hidden="1" x14ac:dyDescent="0.35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1182</v>
      </c>
      <c r="G1308" s="124" t="s">
        <v>1182</v>
      </c>
      <c r="H1308" s="124" t="s">
        <v>1182</v>
      </c>
      <c r="I1308" s="175" t="s">
        <v>1169</v>
      </c>
      <c r="J1308" s="176" t="s">
        <v>43</v>
      </c>
      <c r="K1308" s="124" t="s">
        <v>1170</v>
      </c>
      <c r="L1308" s="124" t="s">
        <v>1183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20"/>
        <v>39230.769230769227</v>
      </c>
      <c r="AC1308" s="209">
        <f t="shared" si="321"/>
        <v>1569.2307692307731</v>
      </c>
      <c r="AD1308" s="216">
        <v>39230.769230769198</v>
      </c>
      <c r="AE1308" s="217">
        <v>0</v>
      </c>
      <c r="AF1308" s="204">
        <f t="shared" si="322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3" hidden="1" x14ac:dyDescent="0.35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1169</v>
      </c>
      <c r="J1309" s="176" t="s">
        <v>43</v>
      </c>
      <c r="K1309" s="124" t="s">
        <v>1170</v>
      </c>
      <c r="L1309" s="124" t="s">
        <v>1184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153409.26999999583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100000</v>
      </c>
      <c r="W1309" s="204">
        <v>6000</v>
      </c>
      <c r="X1309" s="204">
        <v>5660.3773584905703</v>
      </c>
      <c r="Y1309" s="204">
        <v>339.622641509434</v>
      </c>
      <c r="Z1309" s="204">
        <v>0</v>
      </c>
      <c r="AA1309" s="204">
        <f>Q1309+V1309-Z1309</f>
        <v>253409.26999999583</v>
      </c>
      <c r="AB1309" s="208">
        <f t="shared" si="320"/>
        <v>0</v>
      </c>
      <c r="AC1309" s="209">
        <f t="shared" si="321"/>
        <v>0</v>
      </c>
      <c r="AD1309" s="216">
        <v>0</v>
      </c>
      <c r="AE1309" s="217">
        <v>0</v>
      </c>
      <c r="AF1309" s="204">
        <f t="shared" si="322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3" hidden="1" x14ac:dyDescent="0.35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1005</v>
      </c>
      <c r="G1310" s="124" t="s">
        <v>1005</v>
      </c>
      <c r="H1310" s="124" t="s">
        <v>1005</v>
      </c>
      <c r="I1310" s="175" t="s">
        <v>1169</v>
      </c>
      <c r="J1310" s="176" t="s">
        <v>43</v>
      </c>
      <c r="K1310" s="124" t="s">
        <v>1170</v>
      </c>
      <c r="L1310" s="124" t="s">
        <v>1185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20"/>
        <v>670.59615384615381</v>
      </c>
      <c r="AC1310" s="209">
        <f t="shared" si="321"/>
        <v>26.823846153846148</v>
      </c>
      <c r="AD1310" s="216">
        <v>670.59615384615404</v>
      </c>
      <c r="AE1310" s="217">
        <v>0</v>
      </c>
      <c r="AF1310" s="204">
        <f t="shared" si="322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3" hidden="1" x14ac:dyDescent="0.35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627</v>
      </c>
      <c r="G1311" s="124" t="s">
        <v>627</v>
      </c>
      <c r="H1311" s="124" t="s">
        <v>627</v>
      </c>
      <c r="I1311" s="175" t="s">
        <v>1169</v>
      </c>
      <c r="J1311" s="176" t="s">
        <v>43</v>
      </c>
      <c r="K1311" s="124" t="s">
        <v>1170</v>
      </c>
      <c r="L1311" s="124" t="s">
        <v>1186</v>
      </c>
      <c r="M1311" s="124" t="s">
        <v>45</v>
      </c>
      <c r="N1311" s="184">
        <v>0.04</v>
      </c>
      <c r="O1311" s="184" t="s">
        <v>1187</v>
      </c>
      <c r="P1311" s="184" t="s">
        <v>492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20"/>
        <v>10000</v>
      </c>
      <c r="AC1311" s="209">
        <f t="shared" si="321"/>
        <v>400</v>
      </c>
      <c r="AD1311" s="216">
        <v>10000</v>
      </c>
      <c r="AE1311" s="217">
        <v>0</v>
      </c>
      <c r="AF1311" s="204">
        <f t="shared" si="322"/>
        <v>0</v>
      </c>
      <c r="AG1311" s="204"/>
      <c r="AH1311" s="204"/>
      <c r="AI1311" s="204"/>
      <c r="AJ1311" s="220" t="s">
        <v>1187</v>
      </c>
      <c r="AK1311" s="124"/>
      <c r="AL1311" s="124"/>
    </row>
    <row r="1312" spans="1:38" s="125" customFormat="1" ht="13" hidden="1" x14ac:dyDescent="0.35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627</v>
      </c>
      <c r="G1312" s="124" t="s">
        <v>627</v>
      </c>
      <c r="H1312" s="124" t="s">
        <v>627</v>
      </c>
      <c r="I1312" s="175" t="s">
        <v>1169</v>
      </c>
      <c r="J1312" s="176" t="s">
        <v>43</v>
      </c>
      <c r="K1312" s="124" t="s">
        <v>1170</v>
      </c>
      <c r="L1312" s="124" t="s">
        <v>1186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20"/>
        <v>0</v>
      </c>
      <c r="AC1312" s="209">
        <f t="shared" si="321"/>
        <v>0</v>
      </c>
      <c r="AD1312" s="216">
        <v>0</v>
      </c>
      <c r="AE1312" s="217">
        <v>0</v>
      </c>
      <c r="AF1312" s="204">
        <f t="shared" si="322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3" hidden="1" x14ac:dyDescent="0.35">
      <c r="A1313" s="124">
        <v>2017</v>
      </c>
      <c r="B1313" s="124" t="s">
        <v>37</v>
      </c>
      <c r="C1313" s="124" t="s">
        <v>430</v>
      </c>
      <c r="D1313" s="124" t="s">
        <v>1188</v>
      </c>
      <c r="E1313" s="124" t="s">
        <v>432</v>
      </c>
      <c r="F1313" s="124" t="s">
        <v>1189</v>
      </c>
      <c r="G1313" s="124" t="s">
        <v>1189</v>
      </c>
      <c r="H1313" s="124" t="s">
        <v>1189</v>
      </c>
      <c r="I1313" s="175" t="s">
        <v>1169</v>
      </c>
      <c r="J1313" s="176" t="s">
        <v>43</v>
      </c>
      <c r="K1313" s="124" t="s">
        <v>1170</v>
      </c>
      <c r="L1313" s="124" t="s">
        <v>1190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20"/>
        <v>1672.3214285714284</v>
      </c>
      <c r="AC1313" s="209">
        <f t="shared" si="321"/>
        <v>200.67857142857156</v>
      </c>
      <c r="AD1313" s="216">
        <v>1672.32142857143</v>
      </c>
      <c r="AE1313" s="217">
        <v>0</v>
      </c>
      <c r="AF1313" s="204">
        <f t="shared" si="322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3" hidden="1" x14ac:dyDescent="0.35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1191</v>
      </c>
      <c r="G1314" s="124" t="s">
        <v>1191</v>
      </c>
      <c r="H1314" s="124" t="s">
        <v>1191</v>
      </c>
      <c r="I1314" s="175" t="s">
        <v>1169</v>
      </c>
      <c r="J1314" s="176" t="s">
        <v>43</v>
      </c>
      <c r="K1314" s="124" t="s">
        <v>1170</v>
      </c>
      <c r="L1314" s="124" t="s">
        <v>1192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20"/>
        <v>4504.5045045045044</v>
      </c>
      <c r="AC1314" s="209">
        <f t="shared" si="321"/>
        <v>495.49549549549556</v>
      </c>
      <c r="AD1314" s="216">
        <v>4504.5045045044999</v>
      </c>
      <c r="AE1314" s="217">
        <v>0</v>
      </c>
      <c r="AF1314" s="204">
        <f t="shared" si="322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3" hidden="1" x14ac:dyDescent="0.35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1193</v>
      </c>
      <c r="G1315" s="124" t="s">
        <v>1193</v>
      </c>
      <c r="H1315" s="124" t="s">
        <v>1193</v>
      </c>
      <c r="I1315" s="175" t="s">
        <v>1169</v>
      </c>
      <c r="J1315" s="176" t="s">
        <v>43</v>
      </c>
      <c r="K1315" s="124" t="s">
        <v>1170</v>
      </c>
      <c r="L1315" s="124" t="s">
        <v>1194</v>
      </c>
      <c r="M1315" s="124" t="s">
        <v>183</v>
      </c>
      <c r="N1315" s="184">
        <v>0.13</v>
      </c>
      <c r="O1315" s="184" t="s">
        <v>1195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20"/>
        <v>13947.292035398232</v>
      </c>
      <c r="AC1315" s="209">
        <f t="shared" si="321"/>
        <v>1813.1479646017688</v>
      </c>
      <c r="AD1315" s="216">
        <v>13947.292035398201</v>
      </c>
      <c r="AE1315" s="217">
        <v>0</v>
      </c>
      <c r="AF1315" s="204">
        <f t="shared" si="322"/>
        <v>0</v>
      </c>
      <c r="AG1315" s="204"/>
      <c r="AH1315" s="204"/>
      <c r="AI1315" s="204"/>
      <c r="AJ1315" s="220" t="s">
        <v>1195</v>
      </c>
      <c r="AK1315" s="124"/>
      <c r="AL1315" s="124"/>
    </row>
    <row r="1316" spans="1:38" s="125" customFormat="1" ht="13" hidden="1" x14ac:dyDescent="0.35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1169</v>
      </c>
      <c r="J1316" s="176" t="s">
        <v>43</v>
      </c>
      <c r="K1316" s="124" t="s">
        <v>1170</v>
      </c>
      <c r="L1316" s="124" t="s">
        <v>1196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20"/>
        <v>35976.5</v>
      </c>
      <c r="AC1316" s="209">
        <f t="shared" si="321"/>
        <v>2878.1200000000026</v>
      </c>
      <c r="AD1316" s="216">
        <v>35976.5</v>
      </c>
      <c r="AE1316" s="217">
        <v>0</v>
      </c>
      <c r="AF1316" s="204">
        <f t="shared" si="322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3" hidden="1" x14ac:dyDescent="0.35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1197</v>
      </c>
      <c r="F1317" s="124" t="s">
        <v>1198</v>
      </c>
      <c r="G1317" s="124" t="s">
        <v>1198</v>
      </c>
      <c r="H1317" s="124" t="s">
        <v>1198</v>
      </c>
      <c r="I1317" s="175" t="s">
        <v>1169</v>
      </c>
      <c r="J1317" s="176" t="s">
        <v>43</v>
      </c>
      <c r="K1317" s="124" t="s">
        <v>1170</v>
      </c>
      <c r="L1317" s="124" t="s">
        <v>1199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20"/>
        <v>17497.169811320753</v>
      </c>
      <c r="AC1317" s="209">
        <f t="shared" si="321"/>
        <v>1049.8301886792469</v>
      </c>
      <c r="AD1317" s="216">
        <v>17497.1698113208</v>
      </c>
      <c r="AE1317" s="217">
        <v>0</v>
      </c>
      <c r="AF1317" s="204">
        <f t="shared" si="322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3" hidden="1" x14ac:dyDescent="0.35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1169</v>
      </c>
      <c r="J1318" s="176" t="s">
        <v>43</v>
      </c>
      <c r="K1318" s="124" t="s">
        <v>1170</v>
      </c>
      <c r="L1318" s="124" t="s">
        <v>1200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20"/>
        <v>13988.5</v>
      </c>
      <c r="AC1318" s="209">
        <f t="shared" si="321"/>
        <v>0</v>
      </c>
      <c r="AD1318" s="216">
        <v>13988.5</v>
      </c>
      <c r="AE1318" s="217">
        <v>0</v>
      </c>
      <c r="AF1318" s="204">
        <f t="shared" si="322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3" hidden="1" x14ac:dyDescent="0.35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1201</v>
      </c>
      <c r="G1319" s="124" t="s">
        <v>1201</v>
      </c>
      <c r="H1319" s="124" t="s">
        <v>1201</v>
      </c>
      <c r="I1319" s="175" t="s">
        <v>1169</v>
      </c>
      <c r="J1319" s="176" t="s">
        <v>43</v>
      </c>
      <c r="K1319" s="124" t="s">
        <v>1170</v>
      </c>
      <c r="L1319" s="124" t="s">
        <v>1202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20"/>
        <v>9807.6923076923067</v>
      </c>
      <c r="AC1319" s="209">
        <f t="shared" si="321"/>
        <v>392.30769230769329</v>
      </c>
      <c r="AD1319" s="216">
        <v>9807.6923076923104</v>
      </c>
      <c r="AE1319" s="217">
        <v>0</v>
      </c>
      <c r="AF1319" s="204">
        <f t="shared" si="322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3" hidden="1" x14ac:dyDescent="0.35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1169</v>
      </c>
      <c r="J1320" s="176" t="s">
        <v>43</v>
      </c>
      <c r="K1320" s="124" t="s">
        <v>1170</v>
      </c>
      <c r="L1320" s="124" t="s">
        <v>1203</v>
      </c>
      <c r="M1320" s="124" t="s">
        <v>45</v>
      </c>
      <c r="N1320" s="184">
        <v>0.02</v>
      </c>
      <c r="O1320" s="184" t="s">
        <v>610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20"/>
        <v>15054.460784313724</v>
      </c>
      <c r="AC1320" s="209">
        <f t="shared" si="321"/>
        <v>301.08921568627557</v>
      </c>
      <c r="AD1320" s="216">
        <v>15054.4607843137</v>
      </c>
      <c r="AE1320" s="217">
        <v>0</v>
      </c>
      <c r="AF1320" s="204">
        <f t="shared" si="322"/>
        <v>0</v>
      </c>
      <c r="AG1320" s="204"/>
      <c r="AH1320" s="204"/>
      <c r="AI1320" s="204"/>
      <c r="AJ1320" s="220" t="s">
        <v>610</v>
      </c>
      <c r="AK1320" s="124"/>
      <c r="AL1320" s="124"/>
    </row>
    <row r="1321" spans="1:38" s="125" customFormat="1" ht="13" hidden="1" x14ac:dyDescent="0.35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1169</v>
      </c>
      <c r="J1321" s="176" t="s">
        <v>43</v>
      </c>
      <c r="K1321" s="124" t="s">
        <v>1170</v>
      </c>
      <c r="L1321" s="124" t="s">
        <v>1204</v>
      </c>
      <c r="M1321" s="124" t="s">
        <v>45</v>
      </c>
      <c r="N1321" s="184">
        <v>0.05</v>
      </c>
      <c r="O1321" s="184" t="s">
        <v>1205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20"/>
        <v>231979.90476190473</v>
      </c>
      <c r="AC1321" s="209">
        <f t="shared" si="321"/>
        <v>11598.99523809526</v>
      </c>
      <c r="AD1321" s="216">
        <v>231979.904761905</v>
      </c>
      <c r="AE1321" s="217">
        <v>0</v>
      </c>
      <c r="AF1321" s="204">
        <f t="shared" si="322"/>
        <v>0</v>
      </c>
      <c r="AG1321" s="204"/>
      <c r="AH1321" s="204"/>
      <c r="AI1321" s="204"/>
      <c r="AJ1321" s="220" t="s">
        <v>1205</v>
      </c>
      <c r="AK1321" s="124"/>
      <c r="AL1321" s="124"/>
    </row>
    <row r="1322" spans="1:38" s="125" customFormat="1" ht="13" hidden="1" x14ac:dyDescent="0.35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465</v>
      </c>
      <c r="F1322" s="124" t="s">
        <v>1206</v>
      </c>
      <c r="G1322" s="124" t="s">
        <v>1206</v>
      </c>
      <c r="H1322" s="124" t="s">
        <v>1206</v>
      </c>
      <c r="I1322" s="175" t="s">
        <v>1169</v>
      </c>
      <c r="J1322" s="176" t="s">
        <v>43</v>
      </c>
      <c r="K1322" s="124" t="s">
        <v>1170</v>
      </c>
      <c r="L1322" s="124" t="s">
        <v>1207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20"/>
        <v>18.235294117647062</v>
      </c>
      <c r="AC1322" s="209">
        <f t="shared" si="321"/>
        <v>0.36470588235293988</v>
      </c>
      <c r="AD1322" s="216">
        <v>18.235294117647101</v>
      </c>
      <c r="AE1322" s="217">
        <v>0</v>
      </c>
      <c r="AF1322" s="204">
        <f t="shared" si="322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3" hidden="1" x14ac:dyDescent="0.35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499</v>
      </c>
      <c r="G1323" s="212" t="s">
        <v>499</v>
      </c>
      <c r="H1323" s="212" t="s">
        <v>499</v>
      </c>
      <c r="I1323" s="175" t="s">
        <v>1169</v>
      </c>
      <c r="J1323" s="176" t="s">
        <v>43</v>
      </c>
      <c r="K1323" s="212" t="s">
        <v>1170</v>
      </c>
      <c r="L1323" s="212" t="s">
        <v>1208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20"/>
        <v>11456.415094339622</v>
      </c>
      <c r="AC1323" s="209">
        <f t="shared" si="321"/>
        <v>687.38490566037763</v>
      </c>
      <c r="AD1323" s="218">
        <v>11456.4150943396</v>
      </c>
      <c r="AE1323" s="217">
        <v>0</v>
      </c>
      <c r="AF1323" s="204">
        <f t="shared" si="322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3" hidden="1" x14ac:dyDescent="0.35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1169</v>
      </c>
      <c r="J1324" s="176" t="s">
        <v>43</v>
      </c>
      <c r="K1324" s="124" t="s">
        <v>1170</v>
      </c>
      <c r="L1324" s="124" t="s">
        <v>1209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20"/>
        <v>5379.8076923076924</v>
      </c>
      <c r="AC1324" s="209">
        <f t="shared" si="321"/>
        <v>215.19230769230762</v>
      </c>
      <c r="AD1324" s="216">
        <v>5379.8076923076896</v>
      </c>
      <c r="AE1324" s="217">
        <v>0</v>
      </c>
      <c r="AF1324" s="204">
        <f t="shared" si="322"/>
        <v>0</v>
      </c>
      <c r="AG1324" s="204"/>
      <c r="AH1324" s="204"/>
      <c r="AI1324" s="204"/>
      <c r="AJ1324" s="220" t="s">
        <v>1210</v>
      </c>
      <c r="AK1324" s="124"/>
      <c r="AL1324" s="124"/>
    </row>
    <row r="1325" spans="1:38" s="125" customFormat="1" ht="13" hidden="1" x14ac:dyDescent="0.35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1211</v>
      </c>
      <c r="G1325" s="124" t="s">
        <v>1211</v>
      </c>
      <c r="H1325" s="124" t="s">
        <v>1211</v>
      </c>
      <c r="I1325" s="175" t="s">
        <v>1169</v>
      </c>
      <c r="J1325" s="176" t="s">
        <v>43</v>
      </c>
      <c r="K1325" s="124" t="s">
        <v>1170</v>
      </c>
      <c r="L1325" s="124" t="s">
        <v>1212</v>
      </c>
      <c r="M1325" s="124" t="s">
        <v>45</v>
      </c>
      <c r="N1325" s="184">
        <v>0.04</v>
      </c>
      <c r="O1325" s="184" t="s">
        <v>1213</v>
      </c>
      <c r="P1325" s="184" t="s">
        <v>50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20"/>
        <v>866817.49999999988</v>
      </c>
      <c r="AC1325" s="209">
        <f t="shared" si="321"/>
        <v>34672.70000000007</v>
      </c>
      <c r="AD1325" s="216">
        <v>866817.5</v>
      </c>
      <c r="AE1325" s="217">
        <v>0</v>
      </c>
      <c r="AF1325" s="204">
        <f t="shared" si="322"/>
        <v>0</v>
      </c>
      <c r="AG1325" s="204"/>
      <c r="AH1325" s="204"/>
      <c r="AI1325" s="204"/>
      <c r="AJ1325" s="220" t="s">
        <v>1213</v>
      </c>
      <c r="AK1325" s="124"/>
      <c r="AL1325" s="124"/>
    </row>
    <row r="1326" spans="1:38" s="125" customFormat="1" ht="13" hidden="1" x14ac:dyDescent="0.35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1214</v>
      </c>
      <c r="G1326" s="124" t="s">
        <v>1214</v>
      </c>
      <c r="H1326" s="124" t="s">
        <v>1214</v>
      </c>
      <c r="I1326" s="175" t="s">
        <v>1169</v>
      </c>
      <c r="J1326" s="176" t="s">
        <v>43</v>
      </c>
      <c r="K1326" s="124" t="s">
        <v>1170</v>
      </c>
      <c r="L1326" s="124" t="s">
        <v>1215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20"/>
        <v>2156.3703703703704</v>
      </c>
      <c r="AC1326" s="209">
        <f t="shared" si="321"/>
        <v>172.50962962962967</v>
      </c>
      <c r="AD1326" s="216">
        <v>2156.37037037037</v>
      </c>
      <c r="AE1326" s="217">
        <v>0</v>
      </c>
      <c r="AF1326" s="204">
        <f t="shared" si="322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3" hidden="1" x14ac:dyDescent="0.35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465</v>
      </c>
      <c r="F1327" s="124" t="s">
        <v>1054</v>
      </c>
      <c r="G1327" s="124" t="s">
        <v>1054</v>
      </c>
      <c r="H1327" s="124" t="s">
        <v>1054</v>
      </c>
      <c r="I1327" s="175" t="s">
        <v>1169</v>
      </c>
      <c r="J1327" s="176" t="s">
        <v>43</v>
      </c>
      <c r="K1327" s="124" t="s">
        <v>1170</v>
      </c>
      <c r="L1327" s="124" t="s">
        <v>1216</v>
      </c>
      <c r="M1327" s="124" t="s">
        <v>183</v>
      </c>
      <c r="N1327" s="184">
        <v>0.04</v>
      </c>
      <c r="O1327" s="184" t="s">
        <v>184</v>
      </c>
      <c r="P1327" s="184" t="s">
        <v>1669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2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3" hidden="1" x14ac:dyDescent="0.35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1217</v>
      </c>
      <c r="G1328" s="124" t="s">
        <v>1217</v>
      </c>
      <c r="H1328" s="124" t="s">
        <v>1217</v>
      </c>
      <c r="I1328" s="175" t="s">
        <v>1169</v>
      </c>
      <c r="J1328" s="176" t="s">
        <v>43</v>
      </c>
      <c r="K1328" s="124" t="s">
        <v>1170</v>
      </c>
      <c r="L1328" s="124" t="s">
        <v>1218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20"/>
        <v>42175.196078431371</v>
      </c>
      <c r="AC1328" s="209">
        <f t="shared" si="321"/>
        <v>843.50392156862654</v>
      </c>
      <c r="AD1328" s="216">
        <v>42175.1960784314</v>
      </c>
      <c r="AE1328" s="217">
        <v>0</v>
      </c>
      <c r="AF1328" s="204">
        <f t="shared" si="322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3" hidden="1" x14ac:dyDescent="0.35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1169</v>
      </c>
      <c r="J1329" s="176" t="s">
        <v>43</v>
      </c>
      <c r="K1329" s="124" t="s">
        <v>1170</v>
      </c>
      <c r="L1329" s="124" t="s">
        <v>1219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v>2246024.15</v>
      </c>
      <c r="AC1329" s="209">
        <f t="shared" si="321"/>
        <v>10208947.060000001</v>
      </c>
      <c r="AD1329" s="216">
        <v>11975933.8557692</v>
      </c>
      <c r="AE1329" s="217">
        <v>0</v>
      </c>
      <c r="AF1329" s="204">
        <f t="shared" si="322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3" hidden="1" x14ac:dyDescent="0.35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1169</v>
      </c>
      <c r="J1330" s="176" t="s">
        <v>43</v>
      </c>
      <c r="K1330" s="124" t="s">
        <v>1170</v>
      </c>
      <c r="L1330" s="124" t="s">
        <v>1220</v>
      </c>
      <c r="M1330" s="124" t="s">
        <v>45</v>
      </c>
      <c r="N1330" s="184">
        <v>0.05</v>
      </c>
      <c r="O1330" s="184" t="s">
        <v>1221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20"/>
        <v>153976.95238095237</v>
      </c>
      <c r="AC1330" s="209">
        <f t="shared" si="321"/>
        <v>7698.8476190476213</v>
      </c>
      <c r="AD1330" s="216">
        <v>153976.95238095199</v>
      </c>
      <c r="AE1330" s="217">
        <v>0</v>
      </c>
      <c r="AF1330" s="204">
        <f t="shared" si="322"/>
        <v>0</v>
      </c>
      <c r="AG1330" s="204"/>
      <c r="AH1330" s="204"/>
      <c r="AI1330" s="204"/>
      <c r="AJ1330" s="220" t="s">
        <v>1221</v>
      </c>
      <c r="AK1330" s="124"/>
      <c r="AL1330" s="124"/>
    </row>
    <row r="1331" spans="1:38" s="125" customFormat="1" ht="13" hidden="1" x14ac:dyDescent="0.35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906</v>
      </c>
      <c r="G1331" s="124" t="s">
        <v>906</v>
      </c>
      <c r="H1331" s="124" t="s">
        <v>906</v>
      </c>
      <c r="I1331" s="175" t="s">
        <v>1169</v>
      </c>
      <c r="J1331" s="176" t="s">
        <v>43</v>
      </c>
      <c r="K1331" s="124" t="s">
        <v>1170</v>
      </c>
      <c r="L1331" s="124" t="s">
        <v>1222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1"/>
        <v>-1595.75</v>
      </c>
      <c r="AD1331" s="216">
        <v>18043.3823529412</v>
      </c>
      <c r="AE1331" s="217">
        <v>0</v>
      </c>
      <c r="AF1331" s="204">
        <f t="shared" si="322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3" hidden="1" x14ac:dyDescent="0.35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1169</v>
      </c>
      <c r="J1332" s="176" t="s">
        <v>43</v>
      </c>
      <c r="K1332" s="124" t="s">
        <v>1170</v>
      </c>
      <c r="L1332" s="124" t="s">
        <v>1223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20"/>
        <v>27189.999999999996</v>
      </c>
      <c r="AC1332" s="209">
        <f t="shared" si="321"/>
        <v>2719.0000000000036</v>
      </c>
      <c r="AD1332" s="216">
        <v>27190</v>
      </c>
      <c r="AE1332" s="217">
        <v>0</v>
      </c>
      <c r="AF1332" s="204">
        <f t="shared" si="322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3" hidden="1" x14ac:dyDescent="0.35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1169</v>
      </c>
      <c r="J1333" s="176" t="s">
        <v>43</v>
      </c>
      <c r="K1333" s="124" t="s">
        <v>1170</v>
      </c>
      <c r="L1333" s="124" t="s">
        <v>1224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1"/>
        <v>-97227.080000000075</v>
      </c>
      <c r="AD1333" s="216">
        <v>4692133.1132075498</v>
      </c>
      <c r="AE1333" s="217">
        <v>0</v>
      </c>
      <c r="AF1333" s="204">
        <f t="shared" si="322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3" hidden="1" x14ac:dyDescent="0.35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1169</v>
      </c>
      <c r="J1334" s="176" t="s">
        <v>43</v>
      </c>
      <c r="K1334" s="124" t="s">
        <v>1170</v>
      </c>
      <c r="L1334" s="124" t="s">
        <v>1225</v>
      </c>
      <c r="M1334" s="124" t="s">
        <v>45</v>
      </c>
      <c r="N1334" s="184">
        <v>0.02</v>
      </c>
      <c r="O1334" s="184" t="s">
        <v>884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20"/>
        <v>77789.803921568629</v>
      </c>
      <c r="AC1334" s="209">
        <f t="shared" si="321"/>
        <v>1555.7960784313764</v>
      </c>
      <c r="AD1334" s="216">
        <v>77789.8039215686</v>
      </c>
      <c r="AE1334" s="217">
        <v>0</v>
      </c>
      <c r="AF1334" s="204">
        <f t="shared" si="322"/>
        <v>0</v>
      </c>
      <c r="AG1334" s="204"/>
      <c r="AH1334" s="204"/>
      <c r="AI1334" s="204"/>
      <c r="AJ1334" s="220" t="s">
        <v>884</v>
      </c>
      <c r="AK1334" s="124"/>
      <c r="AL1334" s="124"/>
    </row>
    <row r="1335" spans="1:38" s="125" customFormat="1" ht="13" hidden="1" x14ac:dyDescent="0.35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1226</v>
      </c>
      <c r="G1335" s="124" t="s">
        <v>1226</v>
      </c>
      <c r="H1335" s="124" t="s">
        <v>1226</v>
      </c>
      <c r="I1335" s="175" t="s">
        <v>1169</v>
      </c>
      <c r="J1335" s="176" t="s">
        <v>43</v>
      </c>
      <c r="K1335" s="124" t="s">
        <v>1170</v>
      </c>
      <c r="L1335" s="124" t="s">
        <v>1227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20"/>
        <v>15043.035714285714</v>
      </c>
      <c r="AC1335" s="209">
        <f t="shared" si="321"/>
        <v>1805.164285714287</v>
      </c>
      <c r="AD1335" s="216">
        <v>15043.035714285699</v>
      </c>
      <c r="AE1335" s="217">
        <v>0</v>
      </c>
      <c r="AF1335" s="204">
        <f t="shared" si="322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3" hidden="1" x14ac:dyDescent="0.35">
      <c r="A1336" s="124">
        <v>2017</v>
      </c>
      <c r="B1336" s="124" t="s">
        <v>37</v>
      </c>
      <c r="C1336" s="124" t="s">
        <v>430</v>
      </c>
      <c r="D1336" s="124" t="s">
        <v>1188</v>
      </c>
      <c r="E1336" s="124" t="s">
        <v>432</v>
      </c>
      <c r="F1336" s="124" t="s">
        <v>1228</v>
      </c>
      <c r="G1336" s="124" t="s">
        <v>1228</v>
      </c>
      <c r="H1336" s="124" t="s">
        <v>1228</v>
      </c>
      <c r="I1336" s="175" t="s">
        <v>1169</v>
      </c>
      <c r="J1336" s="176" t="s">
        <v>43</v>
      </c>
      <c r="K1336" s="124" t="s">
        <v>1170</v>
      </c>
      <c r="L1336" s="124" t="s">
        <v>1229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20"/>
        <v>3297.8482142857142</v>
      </c>
      <c r="AC1336" s="209">
        <f t="shared" si="321"/>
        <v>395.74178571428592</v>
      </c>
      <c r="AD1336" s="216">
        <v>3297.8482142857101</v>
      </c>
      <c r="AE1336" s="217">
        <v>0</v>
      </c>
      <c r="AF1336" s="204">
        <f t="shared" si="322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3" hidden="1" x14ac:dyDescent="0.35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1230</v>
      </c>
      <c r="H1337" s="175" t="s">
        <v>1230</v>
      </c>
      <c r="I1337" s="175" t="s">
        <v>1169</v>
      </c>
      <c r="J1337" s="176" t="s">
        <v>43</v>
      </c>
      <c r="K1337" s="124" t="s">
        <v>1170</v>
      </c>
      <c r="L1337" s="124" t="s">
        <v>1636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20"/>
        <v>334906.09999999998</v>
      </c>
      <c r="AC1337" s="209">
        <f t="shared" si="321"/>
        <v>0</v>
      </c>
      <c r="AD1337" s="216">
        <v>322025.09615384601</v>
      </c>
      <c r="AE1337" s="217">
        <v>0</v>
      </c>
      <c r="AF1337" s="204">
        <f t="shared" si="322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" hidden="1" x14ac:dyDescent="0.35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1169</v>
      </c>
      <c r="J1338" s="176" t="s">
        <v>43</v>
      </c>
      <c r="K1338" s="124" t="s">
        <v>1170</v>
      </c>
      <c r="L1338" s="124" t="s">
        <v>1637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20"/>
        <v>0</v>
      </c>
      <c r="AC1338" s="209">
        <f t="shared" si="321"/>
        <v>0</v>
      </c>
      <c r="AD1338" s="216">
        <v>0</v>
      </c>
      <c r="AE1338" s="217">
        <v>0</v>
      </c>
      <c r="AF1338" s="204">
        <f t="shared" si="322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3" hidden="1" x14ac:dyDescent="0.35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940</v>
      </c>
      <c r="G1339" s="124" t="s">
        <v>940</v>
      </c>
      <c r="H1339" s="124" t="s">
        <v>940</v>
      </c>
      <c r="I1339" s="175" t="s">
        <v>1169</v>
      </c>
      <c r="J1339" s="176" t="s">
        <v>43</v>
      </c>
      <c r="K1339" s="124" t="s">
        <v>1170</v>
      </c>
      <c r="L1339" s="124" t="s">
        <v>1231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1"/>
        <v>27268.72692307696</v>
      </c>
      <c r="AD1339" s="216">
        <v>360050.67307692301</v>
      </c>
      <c r="AE1339" s="217">
        <v>0</v>
      </c>
      <c r="AF1339" s="204">
        <f t="shared" si="322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3" hidden="1" x14ac:dyDescent="0.35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940</v>
      </c>
      <c r="G1340" s="124" t="s">
        <v>940</v>
      </c>
      <c r="H1340" s="124" t="s">
        <v>940</v>
      </c>
      <c r="I1340" s="175" t="s">
        <v>1169</v>
      </c>
      <c r="J1340" s="176" t="s">
        <v>43</v>
      </c>
      <c r="K1340" s="124" t="s">
        <v>1170</v>
      </c>
      <c r="L1340" s="124" t="s">
        <v>1231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3">IF(P1340="返货",Z1340/(1+N1340),IF(P1340="返现",Z1340,IF(P1340="折扣",Z1340*N1340,IF(P1340="无",Z1340))))</f>
        <v>203429.40384615381</v>
      </c>
      <c r="AC1340" s="209">
        <f t="shared" si="321"/>
        <v>8137.1761538461724</v>
      </c>
      <c r="AD1340" s="216">
        <v>203429.40384615399</v>
      </c>
      <c r="AE1340" s="217">
        <v>0</v>
      </c>
      <c r="AF1340" s="204">
        <f t="shared" si="322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3" hidden="1" x14ac:dyDescent="0.35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1232</v>
      </c>
      <c r="G1341" s="212" t="s">
        <v>1232</v>
      </c>
      <c r="H1341" s="212" t="s">
        <v>1232</v>
      </c>
      <c r="I1341" s="175" t="s">
        <v>1169</v>
      </c>
      <c r="J1341" s="176" t="s">
        <v>43</v>
      </c>
      <c r="K1341" s="212" t="s">
        <v>1170</v>
      </c>
      <c r="L1341" s="212" t="s">
        <v>1233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1"/>
        <v>-14717.5</v>
      </c>
      <c r="AD1341" s="218">
        <v>5282.5</v>
      </c>
      <c r="AE1341" s="217">
        <v>0</v>
      </c>
      <c r="AF1341" s="204">
        <f t="shared" si="322"/>
        <v>0</v>
      </c>
      <c r="AG1341" s="204"/>
      <c r="AH1341" s="210"/>
      <c r="AI1341" s="210"/>
      <c r="AJ1341" s="221" t="s">
        <v>46</v>
      </c>
      <c r="AK1341" s="212" t="s">
        <v>1234</v>
      </c>
      <c r="AL1341" s="212"/>
    </row>
    <row r="1342" spans="1:38" s="125" customFormat="1" ht="13" hidden="1" x14ac:dyDescent="0.35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1235</v>
      </c>
      <c r="G1342" s="212" t="s">
        <v>1235</v>
      </c>
      <c r="H1342" s="212" t="s">
        <v>1235</v>
      </c>
      <c r="I1342" s="175" t="s">
        <v>1169</v>
      </c>
      <c r="J1342" s="176" t="s">
        <v>43</v>
      </c>
      <c r="K1342" s="212" t="s">
        <v>1170</v>
      </c>
      <c r="L1342" s="124" t="s">
        <v>1236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3"/>
        <v>24.818181818181817</v>
      </c>
      <c r="AC1342" s="209">
        <f t="shared" si="321"/>
        <v>2.4818181818181841</v>
      </c>
      <c r="AD1342" s="218">
        <v>24.818181818181799</v>
      </c>
      <c r="AE1342" s="217">
        <v>0</v>
      </c>
      <c r="AF1342" s="204">
        <f t="shared" si="322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3" hidden="1" x14ac:dyDescent="0.35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1237</v>
      </c>
      <c r="G1343" s="124" t="s">
        <v>1237</v>
      </c>
      <c r="H1343" s="124" t="s">
        <v>1237</v>
      </c>
      <c r="I1343" s="175" t="s">
        <v>1169</v>
      </c>
      <c r="J1343" s="176" t="s">
        <v>43</v>
      </c>
      <c r="K1343" s="124" t="s">
        <v>1170</v>
      </c>
      <c r="L1343" s="124" t="s">
        <v>1238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3"/>
        <v>60000</v>
      </c>
      <c r="AC1343" s="209">
        <f t="shared" si="321"/>
        <v>1200</v>
      </c>
      <c r="AD1343" s="216">
        <v>60000</v>
      </c>
      <c r="AE1343" s="217">
        <v>0</v>
      </c>
      <c r="AF1343" s="204">
        <f t="shared" si="322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3" hidden="1" x14ac:dyDescent="0.35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1239</v>
      </c>
      <c r="G1344" s="124" t="s">
        <v>1239</v>
      </c>
      <c r="H1344" s="124" t="s">
        <v>1239</v>
      </c>
      <c r="I1344" s="175" t="s">
        <v>1169</v>
      </c>
      <c r="J1344" s="176" t="s">
        <v>43</v>
      </c>
      <c r="K1344" s="124" t="s">
        <v>1170</v>
      </c>
      <c r="L1344" s="124" t="s">
        <v>1240</v>
      </c>
      <c r="M1344" s="124" t="s">
        <v>45</v>
      </c>
      <c r="N1344" s="184">
        <v>0.02</v>
      </c>
      <c r="O1344" s="184" t="s">
        <v>610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3"/>
        <v>31452.009803921566</v>
      </c>
      <c r="AC1344" s="209">
        <f t="shared" ref="AC1344:AC1356" si="324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2"/>
        <v>0</v>
      </c>
      <c r="AG1344" s="204"/>
      <c r="AH1344" s="204"/>
      <c r="AI1344" s="204"/>
      <c r="AJ1344" s="220" t="s">
        <v>610</v>
      </c>
      <c r="AK1344" s="124"/>
      <c r="AL1344" s="124"/>
    </row>
    <row r="1345" spans="1:39" s="125" customFormat="1" ht="13" hidden="1" x14ac:dyDescent="0.35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1241</v>
      </c>
      <c r="G1345" s="124" t="s">
        <v>1241</v>
      </c>
      <c r="H1345" s="124" t="s">
        <v>1241</v>
      </c>
      <c r="I1345" s="175" t="s">
        <v>1169</v>
      </c>
      <c r="J1345" s="176" t="s">
        <v>43</v>
      </c>
      <c r="K1345" s="124" t="s">
        <v>1170</v>
      </c>
      <c r="L1345" s="124" t="s">
        <v>1242</v>
      </c>
      <c r="M1345" s="124" t="s">
        <v>45</v>
      </c>
      <c r="N1345" s="184">
        <v>0.04</v>
      </c>
      <c r="O1345" s="184" t="s">
        <v>1243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3"/>
        <v>98076.923076923078</v>
      </c>
      <c r="AC1345" s="209">
        <f t="shared" si="324"/>
        <v>3923.076923076922</v>
      </c>
      <c r="AD1345" s="216">
        <v>98076.923076923107</v>
      </c>
      <c r="AE1345" s="217">
        <v>0</v>
      </c>
      <c r="AF1345" s="204">
        <f t="shared" si="322"/>
        <v>0</v>
      </c>
      <c r="AG1345" s="204"/>
      <c r="AH1345" s="204"/>
      <c r="AI1345" s="204"/>
      <c r="AJ1345" s="220" t="s">
        <v>1243</v>
      </c>
      <c r="AK1345" s="124"/>
      <c r="AL1345" s="124"/>
    </row>
    <row r="1346" spans="1:39" s="125" customFormat="1" ht="13" hidden="1" x14ac:dyDescent="0.35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1211</v>
      </c>
      <c r="G1346" s="124" t="s">
        <v>1211</v>
      </c>
      <c r="H1346" s="124" t="s">
        <v>1211</v>
      </c>
      <c r="I1346" s="175" t="s">
        <v>1169</v>
      </c>
      <c r="J1346" s="176" t="s">
        <v>43</v>
      </c>
      <c r="K1346" s="124" t="s">
        <v>1170</v>
      </c>
      <c r="L1346" s="124" t="s">
        <v>1212</v>
      </c>
      <c r="M1346" s="124" t="s">
        <v>183</v>
      </c>
      <c r="N1346" s="184">
        <v>0.08</v>
      </c>
      <c r="O1346" s="184" t="s">
        <v>1213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3"/>
        <v>210396.04629629629</v>
      </c>
      <c r="AC1346" s="209">
        <f t="shared" si="324"/>
        <v>16831.683703703718</v>
      </c>
      <c r="AD1346" s="216">
        <v>210396.046296296</v>
      </c>
      <c r="AE1346" s="217">
        <v>0</v>
      </c>
      <c r="AF1346" s="204">
        <f t="shared" si="322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3" hidden="1" x14ac:dyDescent="0.35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1169</v>
      </c>
      <c r="J1347" s="176" t="s">
        <v>43</v>
      </c>
      <c r="K1347" s="124" t="s">
        <v>1244</v>
      </c>
      <c r="L1347" s="124" t="s">
        <v>1245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3"/>
        <v>467745.06</v>
      </c>
      <c r="AC1347" s="209">
        <f t="shared" si="324"/>
        <v>9354.9012000000221</v>
      </c>
      <c r="AD1347" s="216">
        <v>467745.06</v>
      </c>
      <c r="AE1347" s="217">
        <v>0</v>
      </c>
      <c r="AF1347" s="204">
        <f t="shared" si="322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3" hidden="1" x14ac:dyDescent="0.35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1169</v>
      </c>
      <c r="J1348" s="176" t="s">
        <v>43</v>
      </c>
      <c r="K1348" s="124" t="s">
        <v>1244</v>
      </c>
      <c r="L1348" s="124" t="s">
        <v>1246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3"/>
        <v>70000</v>
      </c>
      <c r="AC1348" s="209">
        <f t="shared" si="324"/>
        <v>0</v>
      </c>
      <c r="AD1348" s="216">
        <v>70000</v>
      </c>
      <c r="AE1348" s="217">
        <v>0</v>
      </c>
      <c r="AF1348" s="204">
        <f t="shared" si="322"/>
        <v>0</v>
      </c>
      <c r="AG1348" s="204"/>
      <c r="AH1348" s="204"/>
      <c r="AI1348" s="204"/>
      <c r="AJ1348" s="220" t="s">
        <v>1103</v>
      </c>
      <c r="AK1348" s="223"/>
      <c r="AL1348" s="223"/>
    </row>
    <row r="1349" spans="1:39" s="125" customFormat="1" ht="13" hidden="1" x14ac:dyDescent="0.35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596</v>
      </c>
      <c r="G1349" s="124" t="s">
        <v>596</v>
      </c>
      <c r="H1349" s="124" t="s">
        <v>596</v>
      </c>
      <c r="I1349" s="175" t="s">
        <v>1169</v>
      </c>
      <c r="J1349" s="176" t="s">
        <v>43</v>
      </c>
      <c r="K1349" s="124" t="s">
        <v>1244</v>
      </c>
      <c r="L1349" s="124" t="s">
        <v>1247</v>
      </c>
      <c r="M1349" s="124" t="s">
        <v>45</v>
      </c>
      <c r="N1349" s="184">
        <v>0.02</v>
      </c>
      <c r="O1349" s="184" t="s">
        <v>1086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3"/>
        <v>90000</v>
      </c>
      <c r="AC1349" s="209">
        <f t="shared" si="324"/>
        <v>1800</v>
      </c>
      <c r="AD1349" s="216">
        <v>90000</v>
      </c>
      <c r="AE1349" s="217">
        <v>0</v>
      </c>
      <c r="AF1349" s="204">
        <f t="shared" si="322"/>
        <v>0</v>
      </c>
      <c r="AG1349" s="204"/>
      <c r="AH1349" s="204"/>
      <c r="AI1349" s="204"/>
      <c r="AJ1349" s="220" t="s">
        <v>1086</v>
      </c>
      <c r="AK1349" s="223"/>
      <c r="AL1349" s="223"/>
    </row>
    <row r="1350" spans="1:39" s="125" customFormat="1" ht="13" hidden="1" x14ac:dyDescent="0.35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627</v>
      </c>
      <c r="G1350" s="124" t="s">
        <v>627</v>
      </c>
      <c r="H1350" s="124" t="s">
        <v>627</v>
      </c>
      <c r="I1350" s="175" t="s">
        <v>1169</v>
      </c>
      <c r="J1350" s="175" t="s">
        <v>1248</v>
      </c>
      <c r="K1350" s="124" t="s">
        <v>1249</v>
      </c>
      <c r="L1350" s="124" t="s">
        <v>1250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3"/>
        <v>259176.82692307694</v>
      </c>
      <c r="AC1350" s="209">
        <f t="shared" si="324"/>
        <v>10367.073076923087</v>
      </c>
      <c r="AD1350" s="204">
        <v>259176.82692307699</v>
      </c>
      <c r="AE1350" s="195">
        <v>0</v>
      </c>
      <c r="AF1350" s="204">
        <f t="shared" si="322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3" hidden="1" x14ac:dyDescent="0.35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1251</v>
      </c>
      <c r="F1351" s="212" t="s">
        <v>994</v>
      </c>
      <c r="G1351" s="212" t="s">
        <v>994</v>
      </c>
      <c r="H1351" s="212" t="s">
        <v>994</v>
      </c>
      <c r="I1351" s="175" t="s">
        <v>1169</v>
      </c>
      <c r="J1351" s="175" t="s">
        <v>1248</v>
      </c>
      <c r="K1351" s="212" t="s">
        <v>1249</v>
      </c>
      <c r="L1351" s="212" t="s">
        <v>1252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3"/>
        <v>10000</v>
      </c>
      <c r="AC1351" s="209">
        <f t="shared" si="324"/>
        <v>0</v>
      </c>
      <c r="AD1351" s="210">
        <v>10000</v>
      </c>
      <c r="AE1351" s="195">
        <v>0</v>
      </c>
      <c r="AF1351" s="204">
        <f t="shared" si="322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3" hidden="1" x14ac:dyDescent="0.35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502</v>
      </c>
      <c r="F1352" s="212" t="s">
        <v>1253</v>
      </c>
      <c r="G1352" s="212" t="s">
        <v>1253</v>
      </c>
      <c r="H1352" s="212" t="s">
        <v>1253</v>
      </c>
      <c r="I1352" s="175" t="s">
        <v>1169</v>
      </c>
      <c r="J1352" s="175" t="s">
        <v>1248</v>
      </c>
      <c r="K1352" s="212" t="s">
        <v>1249</v>
      </c>
      <c r="L1352" s="212" t="s">
        <v>1254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3"/>
        <v>255251.86274509804</v>
      </c>
      <c r="AC1352" s="209">
        <f t="shared" si="324"/>
        <v>5105.0372549019521</v>
      </c>
      <c r="AD1352" s="210">
        <v>255251.86274509801</v>
      </c>
      <c r="AE1352" s="195">
        <v>0</v>
      </c>
      <c r="AF1352" s="204">
        <f t="shared" ref="AF1352:AF1358" si="325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3" hidden="1" x14ac:dyDescent="0.35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1255</v>
      </c>
      <c r="G1353" s="124" t="s">
        <v>1255</v>
      </c>
      <c r="H1353" s="124" t="s">
        <v>1255</v>
      </c>
      <c r="I1353" s="175" t="s">
        <v>1169</v>
      </c>
      <c r="J1353" s="175" t="s">
        <v>1248</v>
      </c>
      <c r="K1353" s="124" t="s">
        <v>1249</v>
      </c>
      <c r="L1353" s="124" t="s">
        <v>1256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3"/>
        <v>3690.0980392156862</v>
      </c>
      <c r="AC1353" s="209">
        <f t="shared" si="324"/>
        <v>73.801960784313906</v>
      </c>
      <c r="AD1353" s="204">
        <v>3619.1346153846198</v>
      </c>
      <c r="AE1353" s="195">
        <v>0</v>
      </c>
      <c r="AF1353" s="204">
        <f t="shared" si="325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3" hidden="1" x14ac:dyDescent="0.35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1169</v>
      </c>
      <c r="J1354" s="175" t="s">
        <v>1248</v>
      </c>
      <c r="K1354" s="124" t="s">
        <v>1249</v>
      </c>
      <c r="L1354" s="124" t="s">
        <v>1257</v>
      </c>
      <c r="M1354" s="124" t="s">
        <v>45</v>
      </c>
      <c r="N1354" s="184">
        <v>0.02</v>
      </c>
      <c r="O1354" s="184" t="s">
        <v>1086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4"/>
        <v>49202.988235294237</v>
      </c>
      <c r="AD1354" s="222">
        <f>(Z1354-Q1354)/1.02</f>
        <v>886684.41176470579</v>
      </c>
      <c r="AE1354" s="195">
        <v>0</v>
      </c>
      <c r="AF1354" s="204">
        <f t="shared" si="325"/>
        <v>0</v>
      </c>
      <c r="AG1354" s="204"/>
      <c r="AH1354" s="204"/>
      <c r="AI1354" s="204"/>
      <c r="AJ1354" s="220" t="s">
        <v>1086</v>
      </c>
      <c r="AK1354" s="124"/>
      <c r="AL1354" s="124"/>
    </row>
    <row r="1355" spans="1:39" s="125" customFormat="1" ht="13" hidden="1" x14ac:dyDescent="0.35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1169</v>
      </c>
      <c r="J1355" s="175" t="s">
        <v>1248</v>
      </c>
      <c r="K1355" s="124" t="s">
        <v>1249</v>
      </c>
      <c r="L1355" s="124" t="s">
        <v>1257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4"/>
        <v>1940.5923076923063</v>
      </c>
      <c r="AD1355" s="204">
        <v>49466.078431372604</v>
      </c>
      <c r="AE1355" s="195">
        <v>0</v>
      </c>
      <c r="AF1355" s="204">
        <f t="shared" si="325"/>
        <v>0</v>
      </c>
      <c r="AG1355" s="204"/>
      <c r="AH1355" s="204"/>
      <c r="AI1355" s="204"/>
      <c r="AJ1355" s="220"/>
      <c r="AK1355" s="124" t="s">
        <v>1258</v>
      </c>
      <c r="AL1355" s="124"/>
    </row>
    <row r="1356" spans="1:39" s="125" customFormat="1" ht="13" hidden="1" x14ac:dyDescent="0.35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907</v>
      </c>
      <c r="G1356" s="124" t="s">
        <v>907</v>
      </c>
      <c r="H1356" s="124" t="s">
        <v>907</v>
      </c>
      <c r="I1356" s="175" t="s">
        <v>1169</v>
      </c>
      <c r="J1356" s="175" t="s">
        <v>1248</v>
      </c>
      <c r="K1356" s="124" t="s">
        <v>1249</v>
      </c>
      <c r="L1356" s="124" t="s">
        <v>1259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4"/>
        <v>200</v>
      </c>
      <c r="AD1356" s="204">
        <v>10000</v>
      </c>
      <c r="AE1356" s="195">
        <v>0</v>
      </c>
      <c r="AF1356" s="204">
        <f t="shared" si="325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632</v>
      </c>
      <c r="G1357" s="119" t="s">
        <v>633</v>
      </c>
      <c r="H1357" s="119" t="s">
        <v>635</v>
      </c>
      <c r="I1357" s="163" t="s">
        <v>202</v>
      </c>
      <c r="J1357" s="119" t="s">
        <v>572</v>
      </c>
      <c r="K1357" s="119" t="s">
        <v>573</v>
      </c>
      <c r="L1357" s="119" t="s">
        <v>634</v>
      </c>
      <c r="M1357" s="119" t="s">
        <v>183</v>
      </c>
      <c r="N1357" s="136">
        <v>0.2354</v>
      </c>
      <c r="O1357" s="135" t="s">
        <v>492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5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hidden="1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632</v>
      </c>
      <c r="G1358" s="119" t="s">
        <v>633</v>
      </c>
      <c r="H1358" s="119" t="s">
        <v>635</v>
      </c>
      <c r="I1358" s="163" t="s">
        <v>202</v>
      </c>
      <c r="J1358" s="119" t="s">
        <v>572</v>
      </c>
      <c r="K1358" s="119" t="s">
        <v>573</v>
      </c>
      <c r="L1358" s="119" t="s">
        <v>634</v>
      </c>
      <c r="M1358" s="119" t="s">
        <v>45</v>
      </c>
      <c r="N1358" s="136">
        <v>8.7499999999999994E-2</v>
      </c>
      <c r="O1358" s="135" t="s">
        <v>492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5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608</v>
      </c>
      <c r="AM1358" s="131"/>
    </row>
    <row r="1359" spans="1:39" hidden="1" x14ac:dyDescent="0.2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524</v>
      </c>
      <c r="G1359" s="119" t="s">
        <v>524</v>
      </c>
      <c r="H1359" s="119" t="s">
        <v>524</v>
      </c>
      <c r="I1359" s="131" t="s">
        <v>241</v>
      </c>
      <c r="J1359" s="119" t="s">
        <v>242</v>
      </c>
      <c r="K1359" s="119" t="s">
        <v>243</v>
      </c>
      <c r="L1359" s="119" t="s">
        <v>1642</v>
      </c>
      <c r="M1359" s="119" t="s">
        <v>45</v>
      </c>
      <c r="N1359" s="135">
        <v>0</v>
      </c>
      <c r="O1359" s="135" t="s">
        <v>1641</v>
      </c>
      <c r="Z1359" s="128">
        <v>10698.4</v>
      </c>
      <c r="AB1359" s="128">
        <v>10698.4</v>
      </c>
    </row>
    <row r="1360" spans="1:39" hidden="1" x14ac:dyDescent="0.2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524</v>
      </c>
      <c r="G1360" s="119" t="s">
        <v>524</v>
      </c>
      <c r="H1360" s="119" t="s">
        <v>524</v>
      </c>
      <c r="I1360" s="131" t="s">
        <v>241</v>
      </c>
      <c r="J1360" s="119" t="s">
        <v>242</v>
      </c>
      <c r="K1360" s="119" t="s">
        <v>243</v>
      </c>
      <c r="L1360" s="119" t="s">
        <v>1643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6">IF(O1360="返货",Z1360/(1+N1360),IF(O1360="返现",Z1360,IF(O1360="折扣",Z1360*N1360,IF(O1360="无",Z1360))))</f>
        <v>33691.910000000003</v>
      </c>
    </row>
    <row r="1361" spans="1:31" hidden="1" x14ac:dyDescent="0.2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524</v>
      </c>
      <c r="G1361" s="119" t="s">
        <v>524</v>
      </c>
      <c r="H1361" s="119" t="s">
        <v>524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6"/>
        <v>42561.694000000003</v>
      </c>
    </row>
    <row r="1362" spans="1:31" ht="13" hidden="1" x14ac:dyDescent="0.35">
      <c r="A1362" s="126">
        <v>2017</v>
      </c>
      <c r="B1362" s="126" t="s">
        <v>1645</v>
      </c>
      <c r="F1362" s="225" t="s">
        <v>1040</v>
      </c>
      <c r="G1362" s="226" t="s">
        <v>1646</v>
      </c>
      <c r="K1362" s="225" t="s">
        <v>1647</v>
      </c>
      <c r="L1362" s="126" t="s">
        <v>1648</v>
      </c>
      <c r="M1362" s="126" t="s">
        <v>1649</v>
      </c>
      <c r="N1362" s="127">
        <v>0.02</v>
      </c>
      <c r="O1362" s="127" t="s">
        <v>1650</v>
      </c>
      <c r="Z1362" s="128">
        <v>19.8</v>
      </c>
      <c r="AB1362" s="146">
        <f t="shared" si="326"/>
        <v>19.411764705882355</v>
      </c>
      <c r="AD1362" s="128">
        <v>19.8</v>
      </c>
      <c r="AE1362" s="127">
        <v>0</v>
      </c>
    </row>
    <row r="1363" spans="1:31" hidden="1" x14ac:dyDescent="0.2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1657</v>
      </c>
      <c r="Z1363" s="128">
        <v>255000</v>
      </c>
      <c r="AB1363" s="128">
        <v>255000</v>
      </c>
    </row>
    <row r="1364" spans="1:31" ht="13" hidden="1" x14ac:dyDescent="0.2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1170</v>
      </c>
      <c r="L1364" s="124" t="s">
        <v>1660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7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3" hidden="1" x14ac:dyDescent="0.2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1170</v>
      </c>
      <c r="L1365" s="124" t="s">
        <v>1661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7"/>
        <v>52886</v>
      </c>
      <c r="AB1365" s="208">
        <f t="shared" ref="AB1365" si="328">IF(P1365="返货",Z1365/(1+N1365),IF(P1365="返现",Z1365,IF(P1365="折扣",Z1365*N1365,IF(P1365="无",Z1365))))</f>
        <v>21921.81818181818</v>
      </c>
    </row>
    <row r="1366" spans="1:31" hidden="1" x14ac:dyDescent="0.25">
      <c r="AB1366" s="128">
        <f>AB480+AB481</f>
        <v>9199025.0904357303</v>
      </c>
    </row>
    <row r="1367" spans="1:31" hidden="1" x14ac:dyDescent="0.25">
      <c r="A1367" s="119">
        <v>2017</v>
      </c>
      <c r="B1367" s="119" t="s">
        <v>37</v>
      </c>
      <c r="C1367" s="119" t="s">
        <v>74</v>
      </c>
      <c r="F1367" s="119" t="s">
        <v>228</v>
      </c>
      <c r="G1367" s="119" t="s">
        <v>228</v>
      </c>
      <c r="K1367" s="119" t="s">
        <v>243</v>
      </c>
      <c r="L1367" s="119" t="s">
        <v>312</v>
      </c>
      <c r="M1367" s="119" t="s">
        <v>45</v>
      </c>
      <c r="N1367" s="135">
        <v>0</v>
      </c>
      <c r="O1367" s="135" t="s">
        <v>46</v>
      </c>
      <c r="P1367" s="127" t="s">
        <v>1677</v>
      </c>
      <c r="Z1367" s="128">
        <v>34984</v>
      </c>
      <c r="AB1367" s="146">
        <f t="shared" ref="AB1367" si="329">IF(O1367="返货",Z1367/(1+N1367),IF(O1367="返现",Z1367,IF(O1367="折扣",Z1367*N1367,IF(O1367="无",Z1367))))</f>
        <v>34984</v>
      </c>
    </row>
    <row r="1368" spans="1:31" hidden="1" x14ac:dyDescent="0.3">
      <c r="A1368" s="119">
        <v>2017</v>
      </c>
      <c r="B1368" s="119" t="s">
        <v>37</v>
      </c>
      <c r="C1368" s="119" t="s">
        <v>58</v>
      </c>
      <c r="F1368" s="119" t="s">
        <v>743</v>
      </c>
      <c r="G1368" s="119" t="s">
        <v>743</v>
      </c>
      <c r="K1368" s="119" t="s">
        <v>573</v>
      </c>
      <c r="L1368" s="119" t="s">
        <v>743</v>
      </c>
      <c r="M1368" s="119" t="s">
        <v>45</v>
      </c>
      <c r="N1368" s="135">
        <v>0.02</v>
      </c>
      <c r="O1368" s="135" t="s">
        <v>1687</v>
      </c>
      <c r="P1368" s="135"/>
      <c r="Q1368" s="137">
        <v>0</v>
      </c>
      <c r="V1368" s="137">
        <v>408000</v>
      </c>
      <c r="Z1368" s="137">
        <v>408000</v>
      </c>
      <c r="AA1368" s="137">
        <f t="shared" ref="AA1368:AA1369" si="330">Q1368+V1368-Z1368</f>
        <v>0</v>
      </c>
      <c r="AB1368" s="146">
        <f>Z1368/(1+N1368)</f>
        <v>400000</v>
      </c>
      <c r="AC1368" s="147">
        <f t="shared" ref="AC1368:AC1369" si="331">IF(O1368="返现",Z1368*N1368,Z1368-AB1368)</f>
        <v>8000</v>
      </c>
    </row>
    <row r="1369" spans="1:31" hidden="1" x14ac:dyDescent="0.3">
      <c r="A1369" s="119">
        <v>2017</v>
      </c>
      <c r="B1369" s="119" t="s">
        <v>37</v>
      </c>
      <c r="C1369" s="119" t="s">
        <v>74</v>
      </c>
      <c r="F1369" s="119" t="s">
        <v>166</v>
      </c>
      <c r="G1369" s="119" t="s">
        <v>166</v>
      </c>
      <c r="K1369" s="119" t="s">
        <v>573</v>
      </c>
      <c r="L1369" s="119" t="s">
        <v>166</v>
      </c>
      <c r="M1369" s="119" t="s">
        <v>45</v>
      </c>
      <c r="N1369" s="136">
        <v>0.08</v>
      </c>
      <c r="O1369" s="135" t="s">
        <v>50</v>
      </c>
      <c r="P1369" s="135"/>
      <c r="Q1369" s="137">
        <v>0</v>
      </c>
      <c r="V1369" s="137">
        <v>75600</v>
      </c>
      <c r="Z1369" s="137">
        <v>75600</v>
      </c>
      <c r="AA1369" s="137">
        <f t="shared" si="330"/>
        <v>0</v>
      </c>
      <c r="AB1369" s="146">
        <f>IF(O1369="返货",Z1369/(1+N1369),IF(O1369="返现",Z1369,IF(O1369="折扣",Z1369*N1369,IF(O1369="无",Z1369))))</f>
        <v>70000</v>
      </c>
      <c r="AC1369" s="147">
        <f t="shared" si="331"/>
        <v>5600</v>
      </c>
    </row>
    <row r="1370" spans="1:31" hidden="1" x14ac:dyDescent="0.25">
      <c r="A1370" s="119">
        <v>2017</v>
      </c>
      <c r="B1370" s="119" t="s">
        <v>37</v>
      </c>
      <c r="C1370" s="119" t="s">
        <v>38</v>
      </c>
      <c r="F1370" s="119" t="s">
        <v>82</v>
      </c>
      <c r="G1370" s="119" t="s">
        <v>82</v>
      </c>
      <c r="K1370" s="119" t="s">
        <v>573</v>
      </c>
      <c r="L1370" s="119" t="s">
        <v>82</v>
      </c>
      <c r="M1370" s="119" t="s">
        <v>183</v>
      </c>
      <c r="N1370" s="136">
        <v>0.02</v>
      </c>
      <c r="O1370" s="135" t="s">
        <v>50</v>
      </c>
      <c r="P1370" s="135"/>
      <c r="Q1370" s="137">
        <v>0</v>
      </c>
      <c r="Z1370" s="128">
        <v>1762703.3699999996</v>
      </c>
      <c r="AA1370" s="137"/>
      <c r="AB1370" s="146">
        <f t="shared" ref="AB1370" si="332">IF(O1370="返货",Z1370/(1+N1370),IF(O1370="返现",Z1370,IF(O1370="折扣",Z1370*N1370,IF(O1370="无",Z1370))))</f>
        <v>1728140.5588235289</v>
      </c>
    </row>
    <row r="1381" spans="26:26" ht="14" x14ac:dyDescent="0.25">
      <c r="Z1381" s="229"/>
    </row>
    <row r="1384" spans="26:26" ht="14" x14ac:dyDescent="0.25">
      <c r="Z1384" s="229"/>
    </row>
  </sheetData>
  <autoFilter ref="A1:AN1370">
    <filterColumn colId="6">
      <filters>
        <filter val="成都沁雨科技有限公司"/>
        <filter val="成都雍景科技有限公司"/>
      </filters>
    </filterColumn>
    <filterColumn colId="10">
      <filters>
        <filter val="维沃通信科技有限公司-vivo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265625" defaultRowHeight="13" x14ac:dyDescent="0.25"/>
  <cols>
    <col min="1" max="1" width="19.90625" style="1" customWidth="1"/>
    <col min="2" max="2" width="7.90625" style="1" customWidth="1"/>
    <col min="3" max="3" width="47.26953125" style="1" customWidth="1"/>
    <col min="4" max="4" width="7.90625" style="1" customWidth="1"/>
    <col min="5" max="5" width="25.36328125" style="1" customWidth="1"/>
    <col min="6" max="6" width="7.90625" style="1" customWidth="1"/>
    <col min="7" max="7" width="11.08984375" style="1" customWidth="1"/>
    <col min="8" max="8" width="11.453125" style="1" customWidth="1"/>
    <col min="9" max="10" width="10.90625" style="1" customWidth="1"/>
    <col min="11" max="11" width="11.453125" style="1" customWidth="1"/>
    <col min="12" max="16384" width="8.7265625" style="1"/>
  </cols>
  <sheetData>
    <row r="2" spans="1:11" x14ac:dyDescent="0.25">
      <c r="A2" s="1" t="s">
        <v>1064</v>
      </c>
    </row>
    <row r="10" spans="1:11" ht="13.5" x14ac:dyDescent="0.35">
      <c r="A10" s="2" t="s">
        <v>1594</v>
      </c>
      <c r="B10" s="2"/>
      <c r="C10" s="3" t="s">
        <v>1404</v>
      </c>
      <c r="D10" s="3" t="s">
        <v>1405</v>
      </c>
      <c r="E10" s="3" t="s">
        <v>10</v>
      </c>
      <c r="F10" s="3" t="s">
        <v>1408</v>
      </c>
      <c r="G10" s="3" t="s">
        <v>1411</v>
      </c>
      <c r="H10" s="3" t="s">
        <v>1412</v>
      </c>
      <c r="I10" s="3" t="s">
        <v>1382</v>
      </c>
      <c r="J10" s="3" t="s">
        <v>1381</v>
      </c>
      <c r="K10" s="4"/>
    </row>
    <row r="11" spans="1:11" ht="13.5" x14ac:dyDescent="0.35">
      <c r="A11" s="4"/>
      <c r="B11" s="2"/>
      <c r="C11" s="5" t="s">
        <v>1072</v>
      </c>
      <c r="D11" s="5" t="s">
        <v>1064</v>
      </c>
      <c r="E11" s="5" t="s">
        <v>1075</v>
      </c>
      <c r="F11" s="5" t="s">
        <v>74</v>
      </c>
      <c r="G11" s="5" t="s">
        <v>1595</v>
      </c>
      <c r="H11" s="5" t="s">
        <v>1431</v>
      </c>
      <c r="I11" s="7">
        <v>100000</v>
      </c>
      <c r="J11" s="7">
        <v>100000</v>
      </c>
      <c r="K11" s="4"/>
    </row>
    <row r="12" spans="1:11" ht="13.5" x14ac:dyDescent="0.35">
      <c r="A12" s="4"/>
      <c r="B12" s="2"/>
      <c r="C12" s="5" t="s">
        <v>1072</v>
      </c>
      <c r="D12" s="5" t="s">
        <v>1064</v>
      </c>
      <c r="E12" s="5" t="s">
        <v>1075</v>
      </c>
      <c r="F12" s="5" t="s">
        <v>74</v>
      </c>
      <c r="G12" s="5" t="s">
        <v>1596</v>
      </c>
      <c r="H12" s="5" t="s">
        <v>1431</v>
      </c>
      <c r="I12" s="7">
        <v>100000</v>
      </c>
      <c r="J12" s="7">
        <v>100000</v>
      </c>
      <c r="K12" s="4"/>
    </row>
    <row r="13" spans="1:11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3.5" x14ac:dyDescent="0.4">
      <c r="A17" s="6" t="s">
        <v>1296</v>
      </c>
      <c r="B17" s="3" t="s">
        <v>1405</v>
      </c>
      <c r="C17" s="3" t="s">
        <v>10</v>
      </c>
      <c r="D17" s="3" t="s">
        <v>12</v>
      </c>
      <c r="E17" s="3" t="s">
        <v>1404</v>
      </c>
      <c r="F17" s="3" t="s">
        <v>1408</v>
      </c>
      <c r="G17" s="3" t="s">
        <v>1409</v>
      </c>
      <c r="H17" s="3" t="s">
        <v>1410</v>
      </c>
      <c r="I17" s="3" t="s">
        <v>1411</v>
      </c>
      <c r="J17" s="3" t="s">
        <v>1412</v>
      </c>
      <c r="K17" s="3" t="s">
        <v>1382</v>
      </c>
    </row>
    <row r="18" spans="1:11" x14ac:dyDescent="0.35">
      <c r="A18" s="4"/>
      <c r="B18" s="5" t="s">
        <v>1597</v>
      </c>
      <c r="C18" s="5" t="s">
        <v>1077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1598</v>
      </c>
      <c r="J18" s="5" t="s">
        <v>1599</v>
      </c>
      <c r="K18" s="7">
        <v>505000</v>
      </c>
    </row>
    <row r="19" spans="1:11" x14ac:dyDescent="0.35">
      <c r="A19" s="4"/>
      <c r="B19" s="5" t="s">
        <v>1597</v>
      </c>
      <c r="C19" s="5" t="s">
        <v>1077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1600</v>
      </c>
      <c r="J19" s="5" t="s">
        <v>1601</v>
      </c>
      <c r="K19" s="7">
        <v>505000</v>
      </c>
    </row>
    <row r="20" spans="1:11" x14ac:dyDescent="0.35">
      <c r="A20" s="4"/>
      <c r="B20" s="5" t="s">
        <v>1597</v>
      </c>
      <c r="C20" s="5" t="s">
        <v>1077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1602</v>
      </c>
      <c r="J20" s="5" t="s">
        <v>1603</v>
      </c>
      <c r="K20" s="7">
        <v>505000</v>
      </c>
    </row>
    <row r="21" spans="1:11" x14ac:dyDescent="0.35">
      <c r="A21" s="4"/>
      <c r="B21" s="254"/>
      <c r="C21" s="255"/>
      <c r="D21" s="255"/>
      <c r="E21" s="255"/>
      <c r="F21" s="255"/>
      <c r="G21" s="256"/>
      <c r="H21" s="7">
        <f>SUM(H18:H20)</f>
        <v>2040000</v>
      </c>
      <c r="I21" s="5"/>
      <c r="J21" s="5"/>
      <c r="K21" s="7">
        <f>SUM(K18:K20)</f>
        <v>1515000</v>
      </c>
    </row>
    <row r="22" spans="1:11" ht="13.5" x14ac:dyDescent="0.35">
      <c r="A22" s="4"/>
      <c r="B22" s="3" t="s">
        <v>1405</v>
      </c>
      <c r="C22" s="3" t="s">
        <v>10</v>
      </c>
      <c r="D22" s="3" t="s">
        <v>12</v>
      </c>
      <c r="E22" s="3" t="s">
        <v>1404</v>
      </c>
      <c r="F22" s="3" t="s">
        <v>1408</v>
      </c>
      <c r="G22" s="3" t="s">
        <v>1409</v>
      </c>
      <c r="H22" s="3" t="s">
        <v>1410</v>
      </c>
      <c r="I22" s="3" t="s">
        <v>1411</v>
      </c>
      <c r="J22" s="3" t="s">
        <v>1412</v>
      </c>
      <c r="K22" s="3" t="s">
        <v>1382</v>
      </c>
    </row>
    <row r="23" spans="1:11" ht="13.5" x14ac:dyDescent="0.4">
      <c r="A23" s="6" t="s">
        <v>1281</v>
      </c>
      <c r="B23" s="5" t="s">
        <v>1597</v>
      </c>
      <c r="C23" s="5" t="s">
        <v>1076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1604</v>
      </c>
      <c r="J23" s="5" t="s">
        <v>1605</v>
      </c>
      <c r="K23" s="7">
        <v>505000</v>
      </c>
    </row>
    <row r="24" spans="1:11" x14ac:dyDescent="0.35">
      <c r="A24" s="4"/>
      <c r="B24" s="5" t="s">
        <v>1597</v>
      </c>
      <c r="C24" s="5" t="s">
        <v>1076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1606</v>
      </c>
      <c r="J24" s="5" t="s">
        <v>1502</v>
      </c>
      <c r="K24" s="7">
        <v>505000</v>
      </c>
    </row>
    <row r="25" spans="1:11" x14ac:dyDescent="0.35">
      <c r="A25" s="4"/>
      <c r="B25" s="5" t="s">
        <v>1597</v>
      </c>
      <c r="C25" s="5" t="s">
        <v>1076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1607</v>
      </c>
      <c r="J25" s="5" t="s">
        <v>1515</v>
      </c>
      <c r="K25" s="7">
        <v>505000</v>
      </c>
    </row>
    <row r="26" spans="1:11" x14ac:dyDescent="0.35">
      <c r="A26" s="4"/>
      <c r="B26" s="5" t="s">
        <v>1597</v>
      </c>
      <c r="C26" s="5" t="s">
        <v>1076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1608</v>
      </c>
      <c r="J26" s="5" t="s">
        <v>1609</v>
      </c>
      <c r="K26" s="7">
        <v>505000</v>
      </c>
    </row>
    <row r="27" spans="1:11" x14ac:dyDescent="0.35">
      <c r="A27" s="4"/>
      <c r="B27" s="5" t="s">
        <v>1597</v>
      </c>
      <c r="C27" s="5" t="s">
        <v>1076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1518</v>
      </c>
      <c r="J27" s="5" t="s">
        <v>1519</v>
      </c>
      <c r="K27" s="7">
        <v>252500</v>
      </c>
    </row>
    <row r="28" spans="1:11" x14ac:dyDescent="0.35">
      <c r="A28" s="4"/>
      <c r="B28" s="5" t="s">
        <v>1597</v>
      </c>
      <c r="C28" s="5" t="s">
        <v>1076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1595</v>
      </c>
      <c r="J28" s="5" t="s">
        <v>1610</v>
      </c>
      <c r="K28" s="7">
        <v>252500</v>
      </c>
    </row>
    <row r="29" spans="1:11" x14ac:dyDescent="0.35">
      <c r="A29" s="4"/>
      <c r="B29" s="5" t="s">
        <v>1597</v>
      </c>
      <c r="C29" s="5" t="s">
        <v>1076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1611</v>
      </c>
      <c r="J29" s="5" t="s">
        <v>1612</v>
      </c>
      <c r="K29" s="7">
        <v>252500</v>
      </c>
    </row>
    <row r="30" spans="1:11" x14ac:dyDescent="0.35">
      <c r="A30" s="4"/>
      <c r="B30" s="5" t="s">
        <v>1597</v>
      </c>
      <c r="C30" s="5" t="s">
        <v>1076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1613</v>
      </c>
      <c r="J30" s="5" t="s">
        <v>1526</v>
      </c>
      <c r="K30" s="7">
        <v>505000</v>
      </c>
    </row>
    <row r="31" spans="1:11" x14ac:dyDescent="0.35">
      <c r="A31" s="4"/>
      <c r="B31" s="5" t="s">
        <v>1597</v>
      </c>
      <c r="C31" s="5" t="s">
        <v>1076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1614</v>
      </c>
      <c r="J31" s="5" t="s">
        <v>1615</v>
      </c>
      <c r="K31" s="7">
        <v>505000</v>
      </c>
    </row>
    <row r="32" spans="1:11" x14ac:dyDescent="0.35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3.5" x14ac:dyDescent="0.4">
      <c r="A34" s="6" t="s">
        <v>1078</v>
      </c>
      <c r="B34" s="4"/>
      <c r="C34" s="3" t="s">
        <v>1404</v>
      </c>
      <c r="D34" s="3" t="s">
        <v>1405</v>
      </c>
      <c r="E34" s="3" t="s">
        <v>10</v>
      </c>
      <c r="F34" s="3" t="s">
        <v>1408</v>
      </c>
      <c r="G34" s="3" t="s">
        <v>1411</v>
      </c>
      <c r="H34" s="3" t="s">
        <v>1412</v>
      </c>
      <c r="I34" s="3" t="s">
        <v>1381</v>
      </c>
      <c r="J34" s="3" t="s">
        <v>1382</v>
      </c>
      <c r="K34" s="4"/>
    </row>
    <row r="35" spans="1:11" x14ac:dyDescent="0.35">
      <c r="A35" s="4"/>
      <c r="B35" s="4"/>
      <c r="C35" s="5" t="s">
        <v>64</v>
      </c>
      <c r="D35" s="5" t="s">
        <v>1616</v>
      </c>
      <c r="E35" s="5" t="s">
        <v>949</v>
      </c>
      <c r="F35" s="5" t="s">
        <v>53</v>
      </c>
      <c r="G35" s="5" t="s">
        <v>1617</v>
      </c>
      <c r="H35" s="5" t="s">
        <v>1617</v>
      </c>
      <c r="I35" s="7">
        <v>8778.2999999999993</v>
      </c>
      <c r="J35" s="7">
        <v>7315.25</v>
      </c>
      <c r="K35" s="4"/>
    </row>
    <row r="38" spans="1:11" ht="13.5" x14ac:dyDescent="0.25">
      <c r="A38" s="9" t="s">
        <v>1618</v>
      </c>
    </row>
    <row r="39" spans="1:11" ht="13.5" x14ac:dyDescent="0.25">
      <c r="A39" s="9"/>
    </row>
    <row r="42" spans="1:11" ht="13.5" x14ac:dyDescent="0.25">
      <c r="A42" s="9" t="s">
        <v>1071</v>
      </c>
    </row>
    <row r="47" spans="1:11" ht="13.5" x14ac:dyDescent="0.25">
      <c r="A47" s="9" t="s">
        <v>1619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4" x14ac:dyDescent="0.25"/>
  <cols>
    <col min="1" max="1" width="13" customWidth="1"/>
    <col min="2" max="2" width="23.08984375" customWidth="1"/>
    <col min="3" max="3" width="18.90625" customWidth="1"/>
  </cols>
  <sheetData>
    <row r="1" spans="1:3" x14ac:dyDescent="0.25">
      <c r="B1" t="s">
        <v>1620</v>
      </c>
      <c r="C1" t="s">
        <v>1621</v>
      </c>
    </row>
    <row r="2" spans="1:3" x14ac:dyDescent="0.25">
      <c r="A2" t="s">
        <v>1622</v>
      </c>
      <c r="B2">
        <v>3679437.63</v>
      </c>
      <c r="C2">
        <v>3679437.63</v>
      </c>
    </row>
    <row r="3" spans="1:3" x14ac:dyDescent="0.25">
      <c r="A3" t="s">
        <v>1623</v>
      </c>
      <c r="B3">
        <v>308739.5</v>
      </c>
      <c r="C3">
        <v>308739.5</v>
      </c>
    </row>
    <row r="4" spans="1:3" x14ac:dyDescent="0.25">
      <c r="A4" t="s">
        <v>1624</v>
      </c>
      <c r="B4">
        <v>1403420.98</v>
      </c>
      <c r="C4">
        <v>1403420.98</v>
      </c>
    </row>
    <row r="5" spans="1:3" x14ac:dyDescent="0.25">
      <c r="A5" t="s">
        <v>1625</v>
      </c>
      <c r="B5">
        <v>500619047.13</v>
      </c>
      <c r="C5">
        <v>500619047.13</v>
      </c>
    </row>
    <row r="6" spans="1:3" x14ac:dyDescent="0.25">
      <c r="A6" t="s">
        <v>1626</v>
      </c>
      <c r="B6">
        <v>472565110.61000001</v>
      </c>
      <c r="C6">
        <v>472565110.61000001</v>
      </c>
    </row>
    <row r="9" spans="1:3" x14ac:dyDescent="0.2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E2" sqref="E2"/>
    </sheetView>
  </sheetViews>
  <sheetFormatPr defaultColWidth="9" defaultRowHeight="14" x14ac:dyDescent="0.25"/>
  <cols>
    <col min="1" max="1" width="18.26953125" customWidth="1"/>
    <col min="2" max="2" width="35.90625" customWidth="1"/>
    <col min="3" max="3" width="22.6328125" customWidth="1"/>
    <col min="4" max="4" width="19.36328125" style="116" customWidth="1"/>
    <col min="5" max="5" width="20.26953125" style="116" customWidth="1"/>
    <col min="6" max="6" width="17.08984375" style="116" customWidth="1"/>
    <col min="7" max="7" width="20.26953125" style="116" customWidth="1"/>
    <col min="8" max="10" width="16.08984375" style="116" customWidth="1"/>
    <col min="11" max="11" width="17.08984375"/>
    <col min="12" max="12" width="12.6328125"/>
    <col min="13" max="13" width="11.453125"/>
    <col min="15" max="15" width="11.453125"/>
  </cols>
  <sheetData>
    <row r="1" spans="1:11" x14ac:dyDescent="0.25">
      <c r="A1" t="s">
        <v>1260</v>
      </c>
      <c r="B1" t="s">
        <v>1261</v>
      </c>
      <c r="C1" t="s">
        <v>1262</v>
      </c>
      <c r="D1" s="116" t="s">
        <v>26</v>
      </c>
      <c r="E1" s="116" t="s">
        <v>1263</v>
      </c>
      <c r="F1" s="116" t="s">
        <v>1264</v>
      </c>
      <c r="G1" s="116" t="s">
        <v>1265</v>
      </c>
      <c r="H1" s="116" t="s">
        <v>1266</v>
      </c>
      <c r="I1" s="116" t="s">
        <v>1267</v>
      </c>
      <c r="J1" s="116" t="s">
        <v>1268</v>
      </c>
    </row>
    <row r="2" spans="1:11" x14ac:dyDescent="0.25">
      <c r="A2" t="s">
        <v>1269</v>
      </c>
      <c r="B2" t="s">
        <v>43</v>
      </c>
      <c r="C2" t="s">
        <v>1270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25">
      <c r="A3" t="s">
        <v>1271</v>
      </c>
      <c r="B3" t="s">
        <v>43</v>
      </c>
      <c r="C3" t="s">
        <v>1270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25">
      <c r="A4" t="s">
        <v>1272</v>
      </c>
      <c r="B4" t="s">
        <v>1125</v>
      </c>
      <c r="C4" t="s">
        <v>1270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25">
      <c r="A5" t="s">
        <v>1273</v>
      </c>
      <c r="B5" t="s">
        <v>600</v>
      </c>
      <c r="C5" t="s">
        <v>1274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25">
      <c r="A6" t="s">
        <v>1273</v>
      </c>
      <c r="B6" t="s">
        <v>861</v>
      </c>
      <c r="C6" t="s">
        <v>1275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25">
      <c r="A7" t="s">
        <v>1276</v>
      </c>
      <c r="B7" t="s">
        <v>600</v>
      </c>
      <c r="C7" t="s">
        <v>1277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25">
      <c r="A8" t="s">
        <v>1276</v>
      </c>
      <c r="B8" t="s">
        <v>570</v>
      </c>
      <c r="C8" t="s">
        <v>1275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25">
      <c r="A9" t="s">
        <v>1278</v>
      </c>
      <c r="B9" t="s">
        <v>169</v>
      </c>
      <c r="C9" t="s">
        <v>1270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25">
      <c r="A10" t="s">
        <v>1279</v>
      </c>
      <c r="B10" t="s">
        <v>1075</v>
      </c>
      <c r="C10" t="s">
        <v>1270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25">
      <c r="A11" t="s">
        <v>1280</v>
      </c>
      <c r="B11" t="s">
        <v>1132</v>
      </c>
      <c r="C11" t="s">
        <v>1270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25">
      <c r="A12" t="s">
        <v>1281</v>
      </c>
      <c r="B12" t="s">
        <v>1076</v>
      </c>
      <c r="C12" t="s">
        <v>1270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25">
      <c r="A13" t="s">
        <v>1114</v>
      </c>
      <c r="B13" t="s">
        <v>1115</v>
      </c>
      <c r="C13" t="s">
        <v>1270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25">
      <c r="A14" t="s">
        <v>156</v>
      </c>
      <c r="B14" t="s">
        <v>157</v>
      </c>
      <c r="C14" t="s">
        <v>1270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25">
      <c r="A15" t="s">
        <v>1064</v>
      </c>
      <c r="B15" t="s">
        <v>1065</v>
      </c>
      <c r="C15" t="s">
        <v>1270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25">
      <c r="A16" t="s">
        <v>1136</v>
      </c>
      <c r="B16" t="s">
        <v>1282</v>
      </c>
      <c r="C16" t="s">
        <v>1270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25">
      <c r="A17" t="s">
        <v>1151</v>
      </c>
      <c r="B17" t="s">
        <v>1152</v>
      </c>
      <c r="C17" t="s">
        <v>1270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25">
      <c r="A18" t="s">
        <v>1151</v>
      </c>
      <c r="B18" t="s">
        <v>1155</v>
      </c>
      <c r="C18" t="s">
        <v>1270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25">
      <c r="A19" t="s">
        <v>1151</v>
      </c>
      <c r="B19" t="s">
        <v>1156</v>
      </c>
      <c r="C19" t="s">
        <v>1270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25">
      <c r="A20" t="s">
        <v>1283</v>
      </c>
      <c r="B20" t="s">
        <v>1125</v>
      </c>
      <c r="C20" t="s">
        <v>1270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25">
      <c r="A21" t="s">
        <v>241</v>
      </c>
      <c r="B21" t="s">
        <v>242</v>
      </c>
      <c r="C21" t="s">
        <v>1284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25">
      <c r="A22" t="s">
        <v>1285</v>
      </c>
      <c r="B22" t="s">
        <v>1147</v>
      </c>
      <c r="C22" t="s">
        <v>1270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25">
      <c r="A23" t="s">
        <v>225</v>
      </c>
      <c r="B23" t="s">
        <v>226</v>
      </c>
      <c r="C23" t="s">
        <v>1270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25">
      <c r="A24" t="s">
        <v>1286</v>
      </c>
      <c r="B24" t="s">
        <v>203</v>
      </c>
      <c r="C24" t="s">
        <v>1270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25">
      <c r="A25" t="s">
        <v>1287</v>
      </c>
      <c r="B25" t="s">
        <v>621</v>
      </c>
      <c r="C25" t="s">
        <v>1270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25">
      <c r="A26" t="s">
        <v>1288</v>
      </c>
      <c r="B26" t="s">
        <v>600</v>
      </c>
      <c r="C26" t="s">
        <v>1274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25">
      <c r="A27" t="s">
        <v>1287</v>
      </c>
      <c r="B27" t="s">
        <v>1070</v>
      </c>
      <c r="C27" t="s">
        <v>1270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25">
      <c r="A28" t="s">
        <v>1289</v>
      </c>
      <c r="B28" t="s">
        <v>572</v>
      </c>
      <c r="C28" t="s">
        <v>1270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25">
      <c r="A29" t="s">
        <v>1290</v>
      </c>
      <c r="B29" t="s">
        <v>715</v>
      </c>
      <c r="C29" t="s">
        <v>1270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25">
      <c r="A30" t="s">
        <v>1291</v>
      </c>
      <c r="B30" t="s">
        <v>949</v>
      </c>
      <c r="C30" t="s">
        <v>1270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25">
      <c r="A31" t="s">
        <v>1068</v>
      </c>
      <c r="B31" t="s">
        <v>600</v>
      </c>
      <c r="C31" t="s">
        <v>1274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25">
      <c r="A32" t="s">
        <v>1068</v>
      </c>
      <c r="B32" t="s">
        <v>330</v>
      </c>
      <c r="C32" t="s">
        <v>1270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25">
      <c r="A33" t="s">
        <v>1068</v>
      </c>
      <c r="B33" t="s">
        <v>203</v>
      </c>
      <c r="C33" t="s">
        <v>1275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25">
      <c r="A34" t="s">
        <v>1128</v>
      </c>
      <c r="B34" t="s">
        <v>674</v>
      </c>
      <c r="C34" t="s">
        <v>1270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25">
      <c r="A35" s="115" t="s">
        <v>1292</v>
      </c>
      <c r="B35" s="115" t="s">
        <v>43</v>
      </c>
      <c r="C35" s="115" t="s">
        <v>1270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25">
      <c r="A36" t="s">
        <v>1293</v>
      </c>
      <c r="B36" t="s">
        <v>43</v>
      </c>
      <c r="C36" t="s">
        <v>1270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25">
      <c r="A37" s="115" t="s">
        <v>1294</v>
      </c>
      <c r="B37" s="115" t="s">
        <v>43</v>
      </c>
      <c r="C37" s="115" t="s">
        <v>1270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25">
      <c r="A38" t="s">
        <v>1295</v>
      </c>
      <c r="B38" t="s">
        <v>43</v>
      </c>
      <c r="C38" t="s">
        <v>1270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25">
      <c r="A39" t="s">
        <v>1296</v>
      </c>
      <c r="B39" t="s">
        <v>600</v>
      </c>
      <c r="C39" t="s">
        <v>1270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2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x14ac:dyDescent="0.35">
      <c r="B41" s="225" t="s">
        <v>1647</v>
      </c>
      <c r="C41" t="s">
        <v>1270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47" activePane="bottomLeft" state="frozen"/>
      <selection pane="bottomLeft" activeCell="G75" sqref="G75"/>
    </sheetView>
  </sheetViews>
  <sheetFormatPr defaultColWidth="8.7265625" defaultRowHeight="11.5" x14ac:dyDescent="0.25"/>
  <cols>
    <col min="1" max="1" width="14.36328125" style="56" customWidth="1"/>
    <col min="2" max="3" width="33.08984375" style="56" customWidth="1"/>
    <col min="4" max="4" width="16.08984375" style="62" customWidth="1"/>
    <col min="5" max="5" width="8" style="56" customWidth="1"/>
    <col min="6" max="6" width="14.453125" style="56" customWidth="1"/>
    <col min="7" max="7" width="14.08984375" style="56" customWidth="1"/>
    <col min="8" max="8" width="19.90625" style="62" customWidth="1"/>
    <col min="9" max="9" width="11.453125" style="63" customWidth="1"/>
    <col min="10" max="10" width="13" style="63" customWidth="1"/>
    <col min="11" max="11" width="11.453125" style="63" customWidth="1"/>
    <col min="12" max="12" width="57.08984375" style="62" customWidth="1"/>
    <col min="13" max="16384" width="8.7265625" style="56"/>
  </cols>
  <sheetData>
    <row r="1" spans="1:12" ht="13.5" x14ac:dyDescent="0.25">
      <c r="A1" s="64" t="s">
        <v>1260</v>
      </c>
      <c r="B1" s="64" t="s">
        <v>1261</v>
      </c>
      <c r="C1" s="64" t="s">
        <v>1297</v>
      </c>
      <c r="D1" s="64" t="s">
        <v>1262</v>
      </c>
      <c r="E1" s="64" t="s">
        <v>12</v>
      </c>
      <c r="F1" s="65" t="s">
        <v>28</v>
      </c>
      <c r="G1" s="65" t="s">
        <v>1298</v>
      </c>
      <c r="H1" s="66" t="s">
        <v>1299</v>
      </c>
      <c r="I1" s="94" t="s">
        <v>1300</v>
      </c>
      <c r="J1" s="94" t="s">
        <v>1301</v>
      </c>
      <c r="K1" s="94" t="s">
        <v>1302</v>
      </c>
      <c r="L1" s="64" t="s">
        <v>35</v>
      </c>
    </row>
    <row r="2" spans="1:12" ht="13.5" x14ac:dyDescent="0.4">
      <c r="A2" s="67" t="s">
        <v>1303</v>
      </c>
      <c r="B2" s="68" t="s">
        <v>43</v>
      </c>
      <c r="C2" s="68" t="s">
        <v>1304</v>
      </c>
      <c r="D2" s="69" t="s">
        <v>1270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1305</v>
      </c>
    </row>
    <row r="3" spans="1:12" ht="13" x14ac:dyDescent="0.35">
      <c r="A3" s="67" t="s">
        <v>156</v>
      </c>
      <c r="B3" s="68" t="s">
        <v>157</v>
      </c>
      <c r="C3" s="68" t="s">
        <v>157</v>
      </c>
      <c r="D3" s="69" t="s">
        <v>1270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3" x14ac:dyDescent="0.35">
      <c r="A4" s="67" t="s">
        <v>225</v>
      </c>
      <c r="B4" s="68" t="s">
        <v>226</v>
      </c>
      <c r="C4" s="68" t="s">
        <v>226</v>
      </c>
      <c r="D4" s="69" t="s">
        <v>1270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3" x14ac:dyDescent="0.35">
      <c r="A5" s="67" t="s">
        <v>225</v>
      </c>
      <c r="B5" s="68" t="s">
        <v>226</v>
      </c>
      <c r="C5" s="68" t="s">
        <v>226</v>
      </c>
      <c r="D5" s="69" t="s">
        <v>1270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3" x14ac:dyDescent="0.35">
      <c r="A6" s="67" t="s">
        <v>225</v>
      </c>
      <c r="B6" s="68" t="s">
        <v>226</v>
      </c>
      <c r="C6" s="68" t="s">
        <v>226</v>
      </c>
      <c r="D6" s="69" t="s">
        <v>1270</v>
      </c>
      <c r="E6" s="67" t="s">
        <v>1306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3" x14ac:dyDescent="0.35">
      <c r="A7" s="67" t="s">
        <v>225</v>
      </c>
      <c r="B7" s="68" t="s">
        <v>226</v>
      </c>
      <c r="C7" s="68" t="s">
        <v>226</v>
      </c>
      <c r="D7" s="69" t="s">
        <v>1270</v>
      </c>
      <c r="E7" s="67" t="s">
        <v>1306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3" x14ac:dyDescent="0.35">
      <c r="A8" s="67" t="s">
        <v>1064</v>
      </c>
      <c r="B8" s="68" t="s">
        <v>1065</v>
      </c>
      <c r="C8" s="68" t="s">
        <v>1307</v>
      </c>
      <c r="D8" s="69" t="s">
        <v>1270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3" x14ac:dyDescent="0.35">
      <c r="A9" s="67" t="s">
        <v>1308</v>
      </c>
      <c r="B9" s="68" t="s">
        <v>43</v>
      </c>
      <c r="C9" s="68" t="s">
        <v>1309</v>
      </c>
      <c r="D9" s="69" t="s">
        <v>1270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3" x14ac:dyDescent="0.35">
      <c r="A10" s="67" t="s">
        <v>1310</v>
      </c>
      <c r="B10" s="68" t="s">
        <v>43</v>
      </c>
      <c r="C10" s="67" t="s">
        <v>1311</v>
      </c>
      <c r="D10" s="69" t="s">
        <v>1270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3" x14ac:dyDescent="0.35">
      <c r="A11" s="67" t="s">
        <v>1310</v>
      </c>
      <c r="B11" s="68" t="s">
        <v>43</v>
      </c>
      <c r="C11" s="67" t="s">
        <v>1311</v>
      </c>
      <c r="D11" s="69" t="s">
        <v>1270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3" x14ac:dyDescent="0.35">
      <c r="A12" s="67" t="s">
        <v>1310</v>
      </c>
      <c r="B12" s="68" t="s">
        <v>43</v>
      </c>
      <c r="C12" s="67" t="s">
        <v>1311</v>
      </c>
      <c r="D12" s="69" t="s">
        <v>1270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3" x14ac:dyDescent="0.35">
      <c r="A13" s="67" t="s">
        <v>1310</v>
      </c>
      <c r="B13" s="68" t="s">
        <v>43</v>
      </c>
      <c r="C13" s="67" t="s">
        <v>1311</v>
      </c>
      <c r="D13" s="69" t="s">
        <v>1270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3" x14ac:dyDescent="0.35">
      <c r="A14" s="67" t="s">
        <v>1312</v>
      </c>
      <c r="B14" s="68" t="s">
        <v>572</v>
      </c>
      <c r="C14" s="68" t="s">
        <v>572</v>
      </c>
      <c r="D14" s="69" t="s">
        <v>1270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1313</v>
      </c>
    </row>
    <row r="15" spans="1:12" ht="13" x14ac:dyDescent="0.35">
      <c r="A15" s="67" t="s">
        <v>1312</v>
      </c>
      <c r="B15" s="68" t="s">
        <v>572</v>
      </c>
      <c r="C15" s="68" t="s">
        <v>572</v>
      </c>
      <c r="D15" s="69" t="s">
        <v>1270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3" x14ac:dyDescent="0.35">
      <c r="A16" s="67" t="s">
        <v>1312</v>
      </c>
      <c r="B16" s="68" t="s">
        <v>572</v>
      </c>
      <c r="C16" s="68" t="s">
        <v>572</v>
      </c>
      <c r="D16" s="69" t="s">
        <v>1270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3" x14ac:dyDescent="0.35">
      <c r="A17" s="67" t="s">
        <v>1312</v>
      </c>
      <c r="B17" s="68" t="s">
        <v>572</v>
      </c>
      <c r="C17" s="68" t="s">
        <v>572</v>
      </c>
      <c r="D17" s="69" t="s">
        <v>1270</v>
      </c>
      <c r="E17" s="69" t="s">
        <v>592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3" x14ac:dyDescent="0.35">
      <c r="A18" s="78" t="s">
        <v>1314</v>
      </c>
      <c r="B18" s="79" t="s">
        <v>1125</v>
      </c>
      <c r="C18" s="79" t="s">
        <v>1125</v>
      </c>
      <c r="D18" s="80" t="s">
        <v>1315</v>
      </c>
      <c r="E18" s="80" t="s">
        <v>1316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3" x14ac:dyDescent="0.35">
      <c r="A19" s="67" t="s">
        <v>1317</v>
      </c>
      <c r="B19" s="68" t="s">
        <v>621</v>
      </c>
      <c r="C19" s="68" t="s">
        <v>1318</v>
      </c>
      <c r="D19" s="69" t="s">
        <v>1270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1319</v>
      </c>
    </row>
    <row r="20" spans="1:12" ht="13" x14ac:dyDescent="0.35">
      <c r="A20" s="67" t="s">
        <v>1317</v>
      </c>
      <c r="B20" s="68" t="s">
        <v>621</v>
      </c>
      <c r="C20" s="68" t="s">
        <v>1318</v>
      </c>
      <c r="D20" s="69" t="s">
        <v>1270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1320</v>
      </c>
    </row>
    <row r="21" spans="1:12" ht="13" x14ac:dyDescent="0.35">
      <c r="A21" s="67" t="s">
        <v>1317</v>
      </c>
      <c r="B21" s="68" t="s">
        <v>600</v>
      </c>
      <c r="C21" s="68" t="s">
        <v>1321</v>
      </c>
      <c r="D21" s="69" t="s">
        <v>1274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3" x14ac:dyDescent="0.35">
      <c r="A22" s="67" t="s">
        <v>1317</v>
      </c>
      <c r="B22" s="68" t="s">
        <v>600</v>
      </c>
      <c r="C22" s="68" t="s">
        <v>1321</v>
      </c>
      <c r="D22" s="69" t="s">
        <v>1274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3" x14ac:dyDescent="0.35">
      <c r="A23" s="67" t="s">
        <v>1317</v>
      </c>
      <c r="B23" s="68" t="s">
        <v>600</v>
      </c>
      <c r="C23" s="68" t="s">
        <v>1322</v>
      </c>
      <c r="D23" s="69" t="s">
        <v>1274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3" x14ac:dyDescent="0.35">
      <c r="A24" s="67" t="s">
        <v>1317</v>
      </c>
      <c r="B24" s="68" t="s">
        <v>600</v>
      </c>
      <c r="C24" s="68" t="s">
        <v>1322</v>
      </c>
      <c r="D24" s="69" t="s">
        <v>1274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3" x14ac:dyDescent="0.35">
      <c r="A25" s="78" t="s">
        <v>1323</v>
      </c>
      <c r="B25" s="79" t="s">
        <v>1125</v>
      </c>
      <c r="C25" s="79" t="s">
        <v>1125</v>
      </c>
      <c r="D25" s="80" t="s">
        <v>1315</v>
      </c>
      <c r="E25" s="80" t="s">
        <v>1316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3" x14ac:dyDescent="0.35">
      <c r="A26" s="67" t="s">
        <v>1324</v>
      </c>
      <c r="B26" s="68" t="s">
        <v>203</v>
      </c>
      <c r="C26" s="68" t="s">
        <v>1325</v>
      </c>
      <c r="D26" s="69" t="s">
        <v>1270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3" x14ac:dyDescent="0.35">
      <c r="A27" s="67" t="s">
        <v>1324</v>
      </c>
      <c r="B27" s="68" t="s">
        <v>203</v>
      </c>
      <c r="C27" s="68" t="s">
        <v>1325</v>
      </c>
      <c r="D27" s="69" t="s">
        <v>1270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3" x14ac:dyDescent="0.35">
      <c r="A28" s="67" t="s">
        <v>1324</v>
      </c>
      <c r="B28" s="68" t="s">
        <v>600</v>
      </c>
      <c r="C28" s="68" t="s">
        <v>1326</v>
      </c>
      <c r="D28" s="69" t="s">
        <v>1274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3" x14ac:dyDescent="0.35">
      <c r="A29" s="67" t="s">
        <v>1324</v>
      </c>
      <c r="B29" s="68" t="s">
        <v>600</v>
      </c>
      <c r="C29" s="68" t="s">
        <v>1326</v>
      </c>
      <c r="D29" s="69" t="s">
        <v>1274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3" x14ac:dyDescent="0.35">
      <c r="A30" s="67" t="s">
        <v>241</v>
      </c>
      <c r="B30" s="68" t="s">
        <v>242</v>
      </c>
      <c r="C30" s="68" t="s">
        <v>1327</v>
      </c>
      <c r="D30" s="69" t="s">
        <v>1328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3" x14ac:dyDescent="0.35">
      <c r="A31" s="67" t="s">
        <v>241</v>
      </c>
      <c r="B31" s="68" t="s">
        <v>242</v>
      </c>
      <c r="C31" s="68" t="s">
        <v>1329</v>
      </c>
      <c r="D31" s="69" t="s">
        <v>1284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1330</v>
      </c>
    </row>
    <row r="32" spans="1:12" ht="13" x14ac:dyDescent="0.35">
      <c r="A32" s="67" t="s">
        <v>241</v>
      </c>
      <c r="B32" s="68" t="s">
        <v>242</v>
      </c>
      <c r="C32" s="68" t="s">
        <v>1329</v>
      </c>
      <c r="D32" s="69" t="s">
        <v>1284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1331</v>
      </c>
    </row>
    <row r="33" spans="1:13" ht="13" x14ac:dyDescent="0.35">
      <c r="A33" s="69" t="s">
        <v>1332</v>
      </c>
      <c r="B33" s="68" t="s">
        <v>169</v>
      </c>
      <c r="C33" s="68" t="s">
        <v>169</v>
      </c>
      <c r="D33" s="69" t="s">
        <v>1270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1333</v>
      </c>
      <c r="M33" s="100" t="s">
        <v>1334</v>
      </c>
    </row>
    <row r="34" spans="1:13" ht="13" x14ac:dyDescent="0.35">
      <c r="A34" s="69" t="s">
        <v>1332</v>
      </c>
      <c r="B34" s="68" t="s">
        <v>169</v>
      </c>
      <c r="C34" s="68" t="s">
        <v>169</v>
      </c>
      <c r="D34" s="69" t="s">
        <v>1270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1333</v>
      </c>
      <c r="M34" s="100"/>
    </row>
    <row r="35" spans="1:13" ht="13" x14ac:dyDescent="0.35">
      <c r="A35" s="69" t="s">
        <v>1332</v>
      </c>
      <c r="B35" s="68" t="s">
        <v>169</v>
      </c>
      <c r="C35" s="68" t="s">
        <v>169</v>
      </c>
      <c r="D35" s="69" t="s">
        <v>1270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1333</v>
      </c>
      <c r="M35" s="100">
        <v>5790132.9069999997</v>
      </c>
    </row>
    <row r="36" spans="1:13" s="57" customFormat="1" ht="13" x14ac:dyDescent="0.35">
      <c r="A36" s="80" t="s">
        <v>1335</v>
      </c>
      <c r="B36" s="79" t="s">
        <v>1125</v>
      </c>
      <c r="C36" s="79" t="s">
        <v>1125</v>
      </c>
      <c r="D36" s="80" t="s">
        <v>1315</v>
      </c>
      <c r="E36" s="80" t="s">
        <v>1316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3" x14ac:dyDescent="0.35">
      <c r="A37" s="69" t="s">
        <v>1336</v>
      </c>
      <c r="B37" s="68" t="s">
        <v>600</v>
      </c>
      <c r="C37" s="68" t="s">
        <v>1337</v>
      </c>
      <c r="D37" s="69" t="s">
        <v>1338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3" x14ac:dyDescent="0.35">
      <c r="A38" s="69" t="s">
        <v>1336</v>
      </c>
      <c r="B38" s="68" t="s">
        <v>600</v>
      </c>
      <c r="C38" s="68" t="s">
        <v>1339</v>
      </c>
      <c r="D38" s="69" t="s">
        <v>1277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3" x14ac:dyDescent="0.35">
      <c r="A39" s="69" t="s">
        <v>1336</v>
      </c>
      <c r="B39" s="68" t="s">
        <v>600</v>
      </c>
      <c r="C39" s="68" t="s">
        <v>1339</v>
      </c>
      <c r="D39" s="69" t="s">
        <v>1277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3" x14ac:dyDescent="0.35">
      <c r="A40" s="80" t="s">
        <v>1340</v>
      </c>
      <c r="B40" s="79" t="s">
        <v>1125</v>
      </c>
      <c r="C40" s="79" t="s">
        <v>1125</v>
      </c>
      <c r="D40" s="80" t="s">
        <v>1315</v>
      </c>
      <c r="E40" s="80" t="s">
        <v>1316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3" x14ac:dyDescent="0.35">
      <c r="A41" s="69" t="s">
        <v>1341</v>
      </c>
      <c r="B41" s="68" t="s">
        <v>861</v>
      </c>
      <c r="C41" s="68" t="s">
        <v>861</v>
      </c>
      <c r="D41" s="69" t="s">
        <v>1275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1342</v>
      </c>
    </row>
    <row r="42" spans="1:13" ht="13" x14ac:dyDescent="0.35">
      <c r="A42" s="69" t="s">
        <v>1341</v>
      </c>
      <c r="B42" s="68" t="s">
        <v>861</v>
      </c>
      <c r="C42" s="68" t="s">
        <v>861</v>
      </c>
      <c r="D42" s="69" t="s">
        <v>1275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3" x14ac:dyDescent="0.35">
      <c r="A43" s="69" t="s">
        <v>1341</v>
      </c>
      <c r="B43" s="68" t="s">
        <v>861</v>
      </c>
      <c r="C43" s="68" t="s">
        <v>861</v>
      </c>
      <c r="D43" s="69" t="s">
        <v>1275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3" x14ac:dyDescent="0.35">
      <c r="A44" s="69" t="s">
        <v>1341</v>
      </c>
      <c r="B44" s="68" t="s">
        <v>600</v>
      </c>
      <c r="C44" s="68" t="s">
        <v>1343</v>
      </c>
      <c r="D44" s="69" t="s">
        <v>1274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3" x14ac:dyDescent="0.35">
      <c r="A45" s="69" t="s">
        <v>1341</v>
      </c>
      <c r="B45" s="68" t="s">
        <v>600</v>
      </c>
      <c r="C45" s="68" t="s">
        <v>1343</v>
      </c>
      <c r="D45" s="69" t="s">
        <v>1274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3" x14ac:dyDescent="0.35">
      <c r="A46" s="80" t="s">
        <v>1344</v>
      </c>
      <c r="B46" s="79" t="s">
        <v>1125</v>
      </c>
      <c r="C46" s="79" t="s">
        <v>1125</v>
      </c>
      <c r="D46" s="80" t="s">
        <v>1315</v>
      </c>
      <c r="E46" s="80" t="s">
        <v>1316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3" x14ac:dyDescent="0.35">
      <c r="A47" s="67" t="s">
        <v>1068</v>
      </c>
      <c r="B47" s="68" t="s">
        <v>330</v>
      </c>
      <c r="C47" s="68" t="s">
        <v>330</v>
      </c>
      <c r="D47" s="69" t="s">
        <v>1270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3" x14ac:dyDescent="0.35">
      <c r="A48" s="67" t="s">
        <v>1317</v>
      </c>
      <c r="B48" s="68" t="s">
        <v>1070</v>
      </c>
      <c r="C48" s="68" t="s">
        <v>1070</v>
      </c>
      <c r="D48" s="69" t="s">
        <v>1270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3" x14ac:dyDescent="0.35">
      <c r="A49" s="67" t="s">
        <v>1345</v>
      </c>
      <c r="B49" s="68" t="s">
        <v>715</v>
      </c>
      <c r="C49" s="68" t="s">
        <v>715</v>
      </c>
      <c r="D49" s="69" t="s">
        <v>1270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3" x14ac:dyDescent="0.25">
      <c r="A50" s="83" t="s">
        <v>1346</v>
      </c>
      <c r="B50" s="83" t="s">
        <v>600</v>
      </c>
      <c r="C50" s="83" t="s">
        <v>1347</v>
      </c>
      <c r="D50" s="84" t="s">
        <v>1270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3" x14ac:dyDescent="0.25">
      <c r="A51" s="83" t="s">
        <v>1348</v>
      </c>
      <c r="B51" s="83" t="s">
        <v>1076</v>
      </c>
      <c r="C51" s="83" t="s">
        <v>1076</v>
      </c>
      <c r="D51" s="84" t="s">
        <v>1270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3" x14ac:dyDescent="0.25">
      <c r="A52" s="83" t="s">
        <v>1349</v>
      </c>
      <c r="B52" s="83" t="s">
        <v>949</v>
      </c>
      <c r="C52" s="83" t="s">
        <v>949</v>
      </c>
      <c r="D52" s="84" t="s">
        <v>1270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3" x14ac:dyDescent="0.35">
      <c r="A53" s="83" t="s">
        <v>1350</v>
      </c>
      <c r="B53" s="88" t="s">
        <v>1075</v>
      </c>
      <c r="C53" s="88" t="s">
        <v>1075</v>
      </c>
      <c r="D53" s="84" t="s">
        <v>1270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3" x14ac:dyDescent="0.35">
      <c r="A54" s="67" t="s">
        <v>1068</v>
      </c>
      <c r="B54" s="68" t="s">
        <v>203</v>
      </c>
      <c r="C54" s="68" t="s">
        <v>1351</v>
      </c>
      <c r="D54" s="69" t="s">
        <v>1275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1320</v>
      </c>
    </row>
    <row r="55" spans="1:12" s="58" customFormat="1" ht="13" x14ac:dyDescent="0.35">
      <c r="A55" s="67" t="s">
        <v>1068</v>
      </c>
      <c r="B55" s="68" t="s">
        <v>203</v>
      </c>
      <c r="C55" s="68" t="s">
        <v>1351</v>
      </c>
      <c r="D55" s="69" t="s">
        <v>1275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3" x14ac:dyDescent="0.35">
      <c r="A56" s="67" t="s">
        <v>1068</v>
      </c>
      <c r="B56" s="68" t="s">
        <v>203</v>
      </c>
      <c r="C56" s="68" t="s">
        <v>1351</v>
      </c>
      <c r="D56" s="69" t="s">
        <v>1275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1352</v>
      </c>
    </row>
    <row r="57" spans="1:12" s="58" customFormat="1" ht="13" x14ac:dyDescent="0.35">
      <c r="A57" s="67" t="s">
        <v>1068</v>
      </c>
      <c r="B57" s="68" t="s">
        <v>600</v>
      </c>
      <c r="C57" s="68" t="s">
        <v>1353</v>
      </c>
      <c r="D57" s="69" t="s">
        <v>1274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3" x14ac:dyDescent="0.35">
      <c r="A58" s="67" t="s">
        <v>1068</v>
      </c>
      <c r="B58" s="68" t="s">
        <v>1125</v>
      </c>
      <c r="C58" s="68" t="s">
        <v>1125</v>
      </c>
      <c r="D58" s="69" t="s">
        <v>1315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3" x14ac:dyDescent="0.35">
      <c r="A59" s="67" t="s">
        <v>1114</v>
      </c>
      <c r="B59" s="68" t="s">
        <v>1115</v>
      </c>
      <c r="C59" s="68" t="s">
        <v>1115</v>
      </c>
      <c r="D59" s="69" t="s">
        <v>1270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3" x14ac:dyDescent="0.35">
      <c r="A60" s="67" t="s">
        <v>1293</v>
      </c>
      <c r="B60" s="68" t="s">
        <v>43</v>
      </c>
      <c r="C60" s="68" t="s">
        <v>43</v>
      </c>
      <c r="D60" s="69" t="s">
        <v>1270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3" x14ac:dyDescent="0.35">
      <c r="A61" s="67" t="s">
        <v>1354</v>
      </c>
      <c r="B61" s="68" t="s">
        <v>1125</v>
      </c>
      <c r="C61" s="68" t="s">
        <v>1125</v>
      </c>
      <c r="D61" s="69" t="s">
        <v>1270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3" x14ac:dyDescent="0.35">
      <c r="A62" s="67" t="s">
        <v>1128</v>
      </c>
      <c r="B62" s="68" t="s">
        <v>674</v>
      </c>
      <c r="C62" s="68" t="s">
        <v>674</v>
      </c>
      <c r="D62" s="69" t="s">
        <v>1270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3" x14ac:dyDescent="0.35">
      <c r="A63" s="67" t="s">
        <v>1355</v>
      </c>
      <c r="B63" s="68" t="s">
        <v>1132</v>
      </c>
      <c r="C63" s="68" t="s">
        <v>1132</v>
      </c>
      <c r="D63" s="69" t="s">
        <v>1270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3" x14ac:dyDescent="0.35">
      <c r="A64" s="67" t="s">
        <v>1136</v>
      </c>
      <c r="B64" s="68" t="s">
        <v>1282</v>
      </c>
      <c r="C64" s="68" t="s">
        <v>1282</v>
      </c>
      <c r="D64" s="69" t="s">
        <v>1270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3" x14ac:dyDescent="0.35">
      <c r="A65" s="67" t="s">
        <v>1136</v>
      </c>
      <c r="B65" s="68" t="s">
        <v>1282</v>
      </c>
      <c r="C65" s="68" t="s">
        <v>1282</v>
      </c>
      <c r="D65" s="69" t="s">
        <v>1270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3" x14ac:dyDescent="0.35">
      <c r="A66" s="67" t="s">
        <v>1285</v>
      </c>
      <c r="B66" s="68" t="s">
        <v>1147</v>
      </c>
      <c r="C66" s="68" t="s">
        <v>1147</v>
      </c>
      <c r="D66" s="69" t="s">
        <v>1270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3" x14ac:dyDescent="0.35">
      <c r="A67" s="67" t="s">
        <v>1285</v>
      </c>
      <c r="B67" s="68" t="s">
        <v>1147</v>
      </c>
      <c r="C67" s="68" t="s">
        <v>1147</v>
      </c>
      <c r="D67" s="69" t="s">
        <v>1270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3" x14ac:dyDescent="0.25">
      <c r="A68" s="67" t="s">
        <v>1151</v>
      </c>
      <c r="B68" s="67" t="s">
        <v>1156</v>
      </c>
      <c r="C68" s="67" t="s">
        <v>1156</v>
      </c>
      <c r="D68" s="69" t="s">
        <v>1270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1356</v>
      </c>
    </row>
    <row r="69" spans="1:12" ht="13" x14ac:dyDescent="0.25">
      <c r="A69" s="67" t="s">
        <v>1151</v>
      </c>
      <c r="B69" s="67" t="s">
        <v>1156</v>
      </c>
      <c r="C69" s="67" t="s">
        <v>1156</v>
      </c>
      <c r="D69" s="69" t="s">
        <v>1270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3" x14ac:dyDescent="0.25">
      <c r="A70" s="67" t="s">
        <v>1151</v>
      </c>
      <c r="B70" s="67" t="s">
        <v>1156</v>
      </c>
      <c r="C70" s="67" t="s">
        <v>1156</v>
      </c>
      <c r="D70" s="69" t="s">
        <v>1270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3" x14ac:dyDescent="0.25">
      <c r="A71" s="67" t="s">
        <v>1151</v>
      </c>
      <c r="B71" s="67" t="s">
        <v>1156</v>
      </c>
      <c r="C71" s="67" t="s">
        <v>1156</v>
      </c>
      <c r="D71" s="69" t="s">
        <v>1270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3" x14ac:dyDescent="0.25">
      <c r="A72" s="67" t="s">
        <v>1151</v>
      </c>
      <c r="B72" s="67" t="s">
        <v>1152</v>
      </c>
      <c r="C72" s="67" t="s">
        <v>1152</v>
      </c>
      <c r="D72" s="69" t="s">
        <v>1270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3" x14ac:dyDescent="0.25">
      <c r="A73" s="67" t="s">
        <v>1151</v>
      </c>
      <c r="B73" s="67" t="s">
        <v>1155</v>
      </c>
      <c r="C73" s="67" t="s">
        <v>1155</v>
      </c>
      <c r="D73" s="69" t="s">
        <v>1270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3" x14ac:dyDescent="0.35">
      <c r="A74" s="98" t="s">
        <v>1357</v>
      </c>
      <c r="B74" s="104" t="s">
        <v>43</v>
      </c>
      <c r="C74" s="104" t="s">
        <v>1358</v>
      </c>
      <c r="D74" s="98" t="s">
        <v>1270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1359</v>
      </c>
    </row>
    <row r="75" spans="1:12" s="59" customFormat="1" ht="13" x14ac:dyDescent="0.35">
      <c r="A75" s="98" t="s">
        <v>1357</v>
      </c>
      <c r="B75" s="104" t="s">
        <v>43</v>
      </c>
      <c r="C75" s="104" t="s">
        <v>1358</v>
      </c>
      <c r="D75" s="98" t="s">
        <v>1270</v>
      </c>
      <c r="E75" s="97" t="s">
        <v>45</v>
      </c>
      <c r="F75" s="72">
        <f>25737239.447075-5471588.77</f>
        <v>20265650.677074999</v>
      </c>
      <c r="G75" s="72">
        <f>25737239.447075-5471588.77</f>
        <v>20265650.677074999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1359</v>
      </c>
    </row>
    <row r="76" spans="1:12" s="59" customFormat="1" ht="13" x14ac:dyDescent="0.35">
      <c r="A76" s="98" t="s">
        <v>1360</v>
      </c>
      <c r="B76" s="104" t="s">
        <v>43</v>
      </c>
      <c r="C76" s="104" t="s">
        <v>1361</v>
      </c>
      <c r="D76" s="98" t="s">
        <v>1270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1359</v>
      </c>
    </row>
    <row r="77" spans="1:12" s="59" customFormat="1" ht="13" x14ac:dyDescent="0.35">
      <c r="A77" s="98" t="s">
        <v>1362</v>
      </c>
      <c r="B77" s="104" t="s">
        <v>1125</v>
      </c>
      <c r="C77" s="104" t="s">
        <v>1363</v>
      </c>
      <c r="D77" s="98" t="s">
        <v>1270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1364</v>
      </c>
    </row>
    <row r="78" spans="1:12" s="59" customFormat="1" ht="13" x14ac:dyDescent="0.35">
      <c r="A78" s="98" t="s">
        <v>1362</v>
      </c>
      <c r="B78" s="104" t="s">
        <v>1125</v>
      </c>
      <c r="C78" s="104" t="s">
        <v>1363</v>
      </c>
      <c r="D78" s="98" t="s">
        <v>1270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1364</v>
      </c>
    </row>
    <row r="79" spans="1:12" s="59" customFormat="1" ht="13" x14ac:dyDescent="0.35">
      <c r="A79" s="80" t="s">
        <v>1365</v>
      </c>
      <c r="B79" s="79" t="s">
        <v>1125</v>
      </c>
      <c r="C79" s="79" t="s">
        <v>1125</v>
      </c>
      <c r="D79" s="80" t="s">
        <v>1315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3" x14ac:dyDescent="0.35">
      <c r="A80" s="80" t="s">
        <v>1366</v>
      </c>
      <c r="B80" s="79" t="s">
        <v>1125</v>
      </c>
      <c r="C80" s="79" t="s">
        <v>1125</v>
      </c>
      <c r="D80" s="80" t="s">
        <v>1315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x14ac:dyDescent="0.3">
      <c r="A81" s="106" t="s">
        <v>1276</v>
      </c>
      <c r="B81" s="107" t="s">
        <v>570</v>
      </c>
      <c r="C81" s="107" t="s">
        <v>570</v>
      </c>
      <c r="D81" s="107" t="s">
        <v>1275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1367</v>
      </c>
    </row>
    <row r="82" spans="1:13" s="61" customFormat="1" x14ac:dyDescent="0.3">
      <c r="A82" s="106" t="s">
        <v>1276</v>
      </c>
      <c r="B82" s="107" t="s">
        <v>570</v>
      </c>
      <c r="C82" s="107" t="s">
        <v>570</v>
      </c>
      <c r="D82" s="107" t="s">
        <v>1275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1368</v>
      </c>
      <c r="M82" s="61" t="s">
        <v>1369</v>
      </c>
    </row>
    <row r="83" spans="1:13" s="61" customFormat="1" x14ac:dyDescent="0.3">
      <c r="A83" s="106" t="s">
        <v>1276</v>
      </c>
      <c r="B83" s="107" t="s">
        <v>570</v>
      </c>
      <c r="C83" s="107" t="s">
        <v>570</v>
      </c>
      <c r="D83" s="107" t="s">
        <v>1275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1370</v>
      </c>
      <c r="M83" s="61" t="s">
        <v>1371</v>
      </c>
    </row>
    <row r="84" spans="1:13" ht="13" x14ac:dyDescent="0.35">
      <c r="C84" s="225" t="s">
        <v>1647</v>
      </c>
      <c r="D84" s="107" t="s">
        <v>1275</v>
      </c>
      <c r="E84" s="56" t="s">
        <v>1649</v>
      </c>
      <c r="F84" s="128">
        <v>19.8</v>
      </c>
      <c r="G84" s="128">
        <v>19.8</v>
      </c>
      <c r="H84" s="62">
        <v>0</v>
      </c>
    </row>
    <row r="1100" spans="29:29" x14ac:dyDescent="0.2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265625" defaultRowHeight="14.5" x14ac:dyDescent="0.25"/>
  <cols>
    <col min="1" max="1" width="8.7265625" style="54"/>
    <col min="2" max="2" width="16.08984375" style="54" customWidth="1"/>
    <col min="3" max="3" width="8.7265625" style="54"/>
    <col min="4" max="4" width="15" style="54" customWidth="1"/>
    <col min="5" max="5" width="12.36328125" style="54" customWidth="1"/>
    <col min="6" max="16384" width="8.7265625" style="54"/>
  </cols>
  <sheetData>
    <row r="1" spans="1:1" x14ac:dyDescent="0.25">
      <c r="A1" s="55" t="s">
        <v>1372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265625" defaultRowHeight="13" x14ac:dyDescent="0.25"/>
  <cols>
    <col min="1" max="1" width="30.90625" style="1" customWidth="1"/>
    <col min="2" max="2" width="28.6328125" style="1" customWidth="1"/>
    <col min="3" max="3" width="16.08984375" style="1" customWidth="1"/>
    <col min="4" max="4" width="13.90625" style="1" customWidth="1"/>
    <col min="5" max="6" width="13.6328125" style="1" customWidth="1"/>
    <col min="7" max="7" width="9.26953125" style="1" customWidth="1"/>
    <col min="8" max="10" width="8.7265625" style="1"/>
    <col min="11" max="11" width="12.453125" style="1" customWidth="1"/>
    <col min="12" max="12" width="6.08984375" style="1" customWidth="1"/>
    <col min="13" max="13" width="5.26953125" style="1" customWidth="1"/>
    <col min="14" max="14" width="12.453125" style="1" customWidth="1"/>
    <col min="15" max="15" width="6.08984375" style="1" customWidth="1"/>
    <col min="16" max="16" width="4.453125" style="1" customWidth="1"/>
    <col min="17" max="17" width="9.90625" style="1" customWidth="1"/>
    <col min="18" max="16384" width="8.7265625" style="1"/>
  </cols>
  <sheetData>
    <row r="1" spans="1:17" x14ac:dyDescent="0.25">
      <c r="A1" s="42" t="s">
        <v>1373</v>
      </c>
      <c r="B1" s="42" t="s">
        <v>1374</v>
      </c>
      <c r="C1" s="42" t="s">
        <v>1375</v>
      </c>
      <c r="D1" s="42" t="s">
        <v>35</v>
      </c>
    </row>
    <row r="2" spans="1:17" x14ac:dyDescent="0.25">
      <c r="A2" s="42">
        <v>1</v>
      </c>
      <c r="B2" s="42" t="s">
        <v>1376</v>
      </c>
      <c r="C2" s="43">
        <v>560162209.98000002</v>
      </c>
      <c r="D2" s="42"/>
    </row>
    <row r="3" spans="1:17" x14ac:dyDescent="0.25">
      <c r="A3" s="42">
        <v>2</v>
      </c>
      <c r="B3" s="42" t="s">
        <v>1377</v>
      </c>
      <c r="C3" s="43">
        <v>7440362.3899999997</v>
      </c>
      <c r="D3" s="42"/>
    </row>
    <row r="4" spans="1:17" x14ac:dyDescent="0.25">
      <c r="A4" s="42">
        <v>3</v>
      </c>
      <c r="B4" s="42" t="s">
        <v>1378</v>
      </c>
      <c r="C4" s="43">
        <v>714416.38</v>
      </c>
      <c r="D4" s="42"/>
    </row>
    <row r="5" spans="1:17" x14ac:dyDescent="0.25">
      <c r="A5" s="42">
        <v>4</v>
      </c>
      <c r="B5" s="44" t="s">
        <v>1379</v>
      </c>
      <c r="C5" s="45">
        <v>5993681</v>
      </c>
      <c r="D5" s="42"/>
    </row>
    <row r="6" spans="1:17" x14ac:dyDescent="0.25">
      <c r="D6" s="46"/>
      <c r="E6" s="46"/>
      <c r="F6" s="46"/>
      <c r="G6" s="46"/>
    </row>
    <row r="7" spans="1:17" x14ac:dyDescent="0.25">
      <c r="C7" s="47"/>
      <c r="D7" s="48"/>
      <c r="E7" s="46"/>
      <c r="F7" s="46"/>
      <c r="G7" s="46"/>
    </row>
    <row r="8" spans="1:17" x14ac:dyDescent="0.25">
      <c r="A8" s="42" t="s">
        <v>1380</v>
      </c>
      <c r="B8" s="42" t="s">
        <v>1297</v>
      </c>
      <c r="C8" s="44" t="s">
        <v>1381</v>
      </c>
      <c r="D8" s="44" t="s">
        <v>1382</v>
      </c>
      <c r="E8" s="42" t="s">
        <v>1383</v>
      </c>
      <c r="F8" s="42" t="s">
        <v>1384</v>
      </c>
      <c r="G8" s="42" t="s">
        <v>1385</v>
      </c>
    </row>
    <row r="9" spans="1:17" x14ac:dyDescent="0.25">
      <c r="A9" s="42" t="s">
        <v>1386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1387</v>
      </c>
    </row>
    <row r="10" spans="1:17" x14ac:dyDescent="0.25">
      <c r="A10" s="42" t="s">
        <v>1388</v>
      </c>
      <c r="B10" s="42" t="s">
        <v>1388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1387</v>
      </c>
    </row>
    <row r="12" spans="1:17" ht="13.5" x14ac:dyDescent="0.25">
      <c r="A12" s="51" t="s">
        <v>1389</v>
      </c>
      <c r="B12" s="52" t="s">
        <v>1390</v>
      </c>
      <c r="C12" s="52" t="s">
        <v>1391</v>
      </c>
      <c r="D12" s="52" t="s">
        <v>1306</v>
      </c>
      <c r="E12" s="52" t="s">
        <v>1392</v>
      </c>
      <c r="F12" s="52" t="s">
        <v>1393</v>
      </c>
      <c r="G12" s="52" t="s">
        <v>1394</v>
      </c>
      <c r="H12" s="51" t="s">
        <v>1</v>
      </c>
      <c r="I12" s="51" t="s">
        <v>1395</v>
      </c>
      <c r="J12" s="51" t="s">
        <v>1396</v>
      </c>
      <c r="K12" s="52" t="s">
        <v>1397</v>
      </c>
      <c r="L12" s="51" t="s">
        <v>1398</v>
      </c>
      <c r="M12" s="51" t="s">
        <v>1396</v>
      </c>
      <c r="N12" s="52" t="s">
        <v>1397</v>
      </c>
      <c r="O12" s="51" t="s">
        <v>1399</v>
      </c>
      <c r="P12" s="51" t="s">
        <v>1396</v>
      </c>
      <c r="Q12" s="52" t="s">
        <v>1397</v>
      </c>
    </row>
    <row r="13" spans="1:17" x14ac:dyDescent="0.2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1387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2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1387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2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1387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2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1387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2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1387</v>
      </c>
      <c r="I17" s="53">
        <v>0.1</v>
      </c>
      <c r="J17" s="53">
        <v>0.05</v>
      </c>
      <c r="K17" s="43">
        <f t="shared" si="0"/>
        <v>2628472.56</v>
      </c>
      <c r="L17" s="53" t="s">
        <v>1400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2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1387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2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1387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2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1387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2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1387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2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1387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2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1387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2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1387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2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1387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2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1387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265625" defaultRowHeight="13" x14ac:dyDescent="0.25"/>
  <cols>
    <col min="1" max="15" width="8.7265625" style="1"/>
    <col min="16" max="16" width="9.26953125" style="1"/>
    <col min="17" max="16384" width="8.7265625" style="1"/>
  </cols>
  <sheetData>
    <row r="3" spans="2:16" x14ac:dyDescent="0.25">
      <c r="B3" s="235" t="s">
        <v>1401</v>
      </c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</row>
    <row r="4" spans="2:16" x14ac:dyDescent="0.25"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</row>
    <row r="5" spans="2:16" x14ac:dyDescent="0.25"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</row>
    <row r="6" spans="2:16" x14ac:dyDescent="0.25">
      <c r="B6" s="236"/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</row>
    <row r="7" spans="2:16" x14ac:dyDescent="0.25">
      <c r="B7" s="236"/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1">
        <v>1238861.44</v>
      </c>
    </row>
    <row r="8" spans="2:16" x14ac:dyDescent="0.25">
      <c r="B8" s="236"/>
      <c r="C8" s="236"/>
      <c r="D8" s="236"/>
      <c r="E8" s="236"/>
      <c r="F8" s="236"/>
      <c r="G8" s="236"/>
      <c r="H8" s="236"/>
      <c r="I8" s="236"/>
      <c r="J8" s="236"/>
      <c r="K8" s="236"/>
      <c r="L8" s="236"/>
      <c r="M8" s="236"/>
      <c r="N8" s="236"/>
      <c r="O8" s="236"/>
      <c r="P8" s="1">
        <v>45960.35</v>
      </c>
    </row>
    <row r="9" spans="2:16" x14ac:dyDescent="0.25">
      <c r="B9" s="236"/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1">
        <v>619837.68999999994</v>
      </c>
    </row>
    <row r="10" spans="2:16" x14ac:dyDescent="0.25">
      <c r="B10" s="236"/>
      <c r="C10" s="236"/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1">
        <v>1584166</v>
      </c>
    </row>
    <row r="11" spans="2:16" x14ac:dyDescent="0.25"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1">
        <v>34477</v>
      </c>
    </row>
    <row r="12" spans="2:16" x14ac:dyDescent="0.25"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</row>
    <row r="13" spans="2:16" x14ac:dyDescent="0.25"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</row>
    <row r="33" spans="16:16" x14ac:dyDescent="0.25">
      <c r="P33" s="1">
        <v>838861.44</v>
      </c>
    </row>
    <row r="56" spans="16:16" x14ac:dyDescent="0.25">
      <c r="P56" s="1">
        <v>25960.5</v>
      </c>
    </row>
    <row r="78" spans="16:16" x14ac:dyDescent="0.25">
      <c r="P78" s="1">
        <v>40801.800000000003</v>
      </c>
    </row>
    <row r="101" spans="16:16" x14ac:dyDescent="0.25">
      <c r="P101" s="1">
        <v>234166</v>
      </c>
    </row>
    <row r="127" spans="16:16" x14ac:dyDescent="0.2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453125" defaultRowHeight="9.5" x14ac:dyDescent="0.25"/>
  <cols>
    <col min="1" max="1" width="19.453125" style="38" customWidth="1"/>
    <col min="2" max="2" width="7.08984375" style="38" customWidth="1"/>
    <col min="3" max="3" width="21" style="38" customWidth="1"/>
    <col min="4" max="5" width="7.08984375" style="38" customWidth="1"/>
    <col min="6" max="6" width="22.453125" style="38" customWidth="1"/>
    <col min="7" max="7" width="7.08984375" style="38" customWidth="1"/>
    <col min="8" max="8" width="10" style="38" customWidth="1"/>
    <col min="9" max="9" width="7.08984375" style="38" customWidth="1"/>
    <col min="10" max="10" width="10" style="38" customWidth="1"/>
    <col min="11" max="11" width="8.453125" style="38" customWidth="1"/>
    <col min="12" max="13" width="9.453125" style="38" customWidth="1"/>
    <col min="14" max="14" width="10" style="38" customWidth="1"/>
    <col min="15" max="15" width="7.08984375" style="38" customWidth="1"/>
    <col min="16" max="16" width="8.453125" style="38" customWidth="1"/>
    <col min="17" max="18" width="7.08984375" style="38" customWidth="1"/>
    <col min="19" max="19" width="10" style="38" customWidth="1"/>
    <col min="20" max="21" width="7.08984375" style="38" customWidth="1"/>
    <col min="22" max="23" width="8.453125" style="38" customWidth="1"/>
    <col min="24" max="24" width="7.08984375" style="38" customWidth="1"/>
    <col min="25" max="27" width="10" style="38" customWidth="1"/>
    <col min="28" max="28" width="8.453125" style="38" customWidth="1"/>
    <col min="29" max="29" width="9.08984375" style="38" customWidth="1"/>
    <col min="30" max="16384" width="17.453125" style="38"/>
  </cols>
  <sheetData>
    <row r="1" spans="1:29" ht="10.5" x14ac:dyDescent="0.25">
      <c r="A1" s="39" t="s">
        <v>1402</v>
      </c>
      <c r="B1" s="39" t="s">
        <v>1403</v>
      </c>
      <c r="C1" s="39" t="s">
        <v>1404</v>
      </c>
      <c r="D1" s="39" t="s">
        <v>1405</v>
      </c>
      <c r="E1" s="39" t="s">
        <v>1406</v>
      </c>
      <c r="F1" s="39" t="s">
        <v>10</v>
      </c>
      <c r="G1" s="39" t="s">
        <v>12</v>
      </c>
      <c r="H1" s="39" t="s">
        <v>1407</v>
      </c>
      <c r="I1" s="39" t="s">
        <v>1408</v>
      </c>
      <c r="J1" s="39" t="s">
        <v>1409</v>
      </c>
      <c r="K1" s="39" t="s">
        <v>1410</v>
      </c>
      <c r="L1" s="39" t="s">
        <v>1411</v>
      </c>
      <c r="M1" s="39" t="s">
        <v>1412</v>
      </c>
      <c r="N1" s="39" t="s">
        <v>1413</v>
      </c>
      <c r="O1" s="39" t="s">
        <v>1414</v>
      </c>
      <c r="P1" s="39" t="s">
        <v>1415</v>
      </c>
      <c r="Q1" s="39" t="s">
        <v>34</v>
      </c>
      <c r="R1" s="39" t="s">
        <v>14</v>
      </c>
      <c r="S1" s="39" t="s">
        <v>1416</v>
      </c>
      <c r="T1" s="39" t="s">
        <v>1417</v>
      </c>
      <c r="U1" s="39" t="s">
        <v>1418</v>
      </c>
      <c r="V1" s="39" t="s">
        <v>1419</v>
      </c>
      <c r="W1" s="39" t="s">
        <v>1382</v>
      </c>
      <c r="X1" s="39" t="s">
        <v>1420</v>
      </c>
      <c r="Y1" s="39" t="s">
        <v>30</v>
      </c>
      <c r="Z1" s="39" t="s">
        <v>1421</v>
      </c>
      <c r="AA1" s="39" t="s">
        <v>1422</v>
      </c>
      <c r="AB1" s="39" t="s">
        <v>1423</v>
      </c>
      <c r="AC1" s="39" t="s">
        <v>1424</v>
      </c>
    </row>
    <row r="2" spans="1:29" ht="10" x14ac:dyDescent="0.25">
      <c r="A2" s="40" t="s">
        <v>1425</v>
      </c>
      <c r="B2" s="40" t="s">
        <v>1426</v>
      </c>
      <c r="C2" s="40" t="s">
        <v>162</v>
      </c>
      <c r="D2" s="40" t="s">
        <v>1427</v>
      </c>
      <c r="E2" s="40" t="s">
        <v>1428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1429</v>
      </c>
      <c r="K2" s="41">
        <v>8700</v>
      </c>
      <c r="L2" s="40" t="s">
        <v>1430</v>
      </c>
      <c r="M2" s="40" t="s">
        <v>1431</v>
      </c>
      <c r="N2" s="40" t="s">
        <v>1432</v>
      </c>
      <c r="O2" s="40" t="s">
        <v>1433</v>
      </c>
      <c r="P2" s="40" t="s">
        <v>1434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1435</v>
      </c>
      <c r="V2" s="41">
        <v>0</v>
      </c>
      <c r="W2" s="41">
        <v>7830</v>
      </c>
      <c r="X2" s="40" t="s">
        <v>1436</v>
      </c>
      <c r="Y2" s="41">
        <v>0</v>
      </c>
      <c r="Z2" s="40" t="s">
        <v>1437</v>
      </c>
      <c r="AA2" s="40" t="s">
        <v>1438</v>
      </c>
      <c r="AB2" s="41">
        <v>870</v>
      </c>
      <c r="AC2" s="41">
        <v>10</v>
      </c>
    </row>
    <row r="3" spans="1:29" ht="10" x14ac:dyDescent="0.25">
      <c r="A3" s="40" t="s">
        <v>1439</v>
      </c>
      <c r="B3" s="40" t="s">
        <v>1426</v>
      </c>
      <c r="C3" s="40" t="s">
        <v>162</v>
      </c>
      <c r="D3" s="40" t="s">
        <v>1427</v>
      </c>
      <c r="E3" s="40" t="s">
        <v>1428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1429</v>
      </c>
      <c r="K3" s="41">
        <v>8700</v>
      </c>
      <c r="L3" s="40" t="s">
        <v>1430</v>
      </c>
      <c r="M3" s="40" t="s">
        <v>1431</v>
      </c>
      <c r="N3" s="40" t="s">
        <v>1432</v>
      </c>
      <c r="O3" s="40" t="s">
        <v>1433</v>
      </c>
      <c r="P3" s="40" t="s">
        <v>1434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1435</v>
      </c>
      <c r="V3" s="41">
        <v>0</v>
      </c>
      <c r="W3" s="41">
        <v>7830</v>
      </c>
      <c r="X3" s="40" t="s">
        <v>1436</v>
      </c>
      <c r="Y3" s="41">
        <v>0</v>
      </c>
      <c r="Z3" s="40" t="s">
        <v>1437</v>
      </c>
      <c r="AA3" s="40" t="s">
        <v>1440</v>
      </c>
      <c r="AB3" s="41">
        <v>870</v>
      </c>
      <c r="AC3" s="41">
        <v>10</v>
      </c>
    </row>
    <row r="4" spans="1:29" ht="10" x14ac:dyDescent="0.25">
      <c r="A4" s="40" t="s">
        <v>1441</v>
      </c>
      <c r="B4" s="40" t="s">
        <v>1426</v>
      </c>
      <c r="C4" s="40" t="s">
        <v>162</v>
      </c>
      <c r="D4" s="40" t="s">
        <v>1427</v>
      </c>
      <c r="E4" s="40" t="s">
        <v>1428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1429</v>
      </c>
      <c r="K4" s="41">
        <v>8700</v>
      </c>
      <c r="L4" s="40" t="s">
        <v>1430</v>
      </c>
      <c r="M4" s="40" t="s">
        <v>1431</v>
      </c>
      <c r="N4" s="40" t="s">
        <v>1432</v>
      </c>
      <c r="O4" s="40" t="s">
        <v>1433</v>
      </c>
      <c r="P4" s="40" t="s">
        <v>1434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1435</v>
      </c>
      <c r="V4" s="41">
        <v>0</v>
      </c>
      <c r="W4" s="41">
        <v>7830</v>
      </c>
      <c r="X4" s="40" t="s">
        <v>1436</v>
      </c>
      <c r="Y4" s="41">
        <v>0</v>
      </c>
      <c r="Z4" s="40" t="s">
        <v>1437</v>
      </c>
      <c r="AA4" s="40" t="s">
        <v>1440</v>
      </c>
      <c r="AB4" s="41">
        <v>870</v>
      </c>
      <c r="AC4" s="41">
        <v>10</v>
      </c>
    </row>
    <row r="5" spans="1:29" ht="10" x14ac:dyDescent="0.25">
      <c r="A5" s="40" t="s">
        <v>1442</v>
      </c>
      <c r="B5" s="40" t="s">
        <v>1426</v>
      </c>
      <c r="C5" s="40" t="s">
        <v>162</v>
      </c>
      <c r="D5" s="40" t="s">
        <v>1427</v>
      </c>
      <c r="E5" s="40" t="s">
        <v>1428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1429</v>
      </c>
      <c r="K5" s="41">
        <v>17400</v>
      </c>
      <c r="L5" s="40" t="s">
        <v>1430</v>
      </c>
      <c r="M5" s="40" t="s">
        <v>1431</v>
      </c>
      <c r="N5" s="40" t="s">
        <v>1432</v>
      </c>
      <c r="O5" s="40" t="s">
        <v>1433</v>
      </c>
      <c r="P5" s="40" t="s">
        <v>1434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1435</v>
      </c>
      <c r="V5" s="41">
        <v>0</v>
      </c>
      <c r="W5" s="41">
        <v>15660</v>
      </c>
      <c r="X5" s="40" t="s">
        <v>1436</v>
      </c>
      <c r="Y5" s="41">
        <v>0</v>
      </c>
      <c r="Z5" s="40" t="s">
        <v>1437</v>
      </c>
      <c r="AA5" s="40" t="s">
        <v>1443</v>
      </c>
      <c r="AB5" s="41">
        <v>1740</v>
      </c>
      <c r="AC5" s="41">
        <v>10</v>
      </c>
    </row>
    <row r="6" spans="1:29" ht="10" x14ac:dyDescent="0.25">
      <c r="A6" s="40" t="s">
        <v>1444</v>
      </c>
      <c r="B6" s="40" t="s">
        <v>1426</v>
      </c>
      <c r="C6" s="40" t="s">
        <v>162</v>
      </c>
      <c r="D6" s="40" t="s">
        <v>1427</v>
      </c>
      <c r="E6" s="40" t="s">
        <v>1428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1429</v>
      </c>
      <c r="K6" s="41">
        <v>8700</v>
      </c>
      <c r="L6" s="40" t="s">
        <v>1430</v>
      </c>
      <c r="M6" s="40" t="s">
        <v>1431</v>
      </c>
      <c r="N6" s="40" t="s">
        <v>1432</v>
      </c>
      <c r="O6" s="40" t="s">
        <v>1433</v>
      </c>
      <c r="P6" s="40" t="s">
        <v>1434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1435</v>
      </c>
      <c r="V6" s="41">
        <v>0</v>
      </c>
      <c r="W6" s="41">
        <v>7830</v>
      </c>
      <c r="X6" s="40" t="s">
        <v>1436</v>
      </c>
      <c r="Y6" s="41">
        <v>0</v>
      </c>
      <c r="Z6" s="40" t="s">
        <v>1437</v>
      </c>
      <c r="AA6" s="40" t="s">
        <v>1438</v>
      </c>
      <c r="AB6" s="41">
        <v>870</v>
      </c>
      <c r="AC6" s="41">
        <v>10</v>
      </c>
    </row>
    <row r="7" spans="1:29" ht="10" x14ac:dyDescent="0.25">
      <c r="A7" s="40" t="s">
        <v>1445</v>
      </c>
      <c r="B7" s="40" t="s">
        <v>1426</v>
      </c>
      <c r="C7" s="40" t="s">
        <v>162</v>
      </c>
      <c r="D7" s="40" t="s">
        <v>1427</v>
      </c>
      <c r="E7" s="40" t="s">
        <v>1428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1429</v>
      </c>
      <c r="K7" s="41">
        <v>34800</v>
      </c>
      <c r="L7" s="40" t="s">
        <v>1430</v>
      </c>
      <c r="M7" s="40" t="s">
        <v>1431</v>
      </c>
      <c r="N7" s="40" t="s">
        <v>1432</v>
      </c>
      <c r="O7" s="40" t="s">
        <v>1433</v>
      </c>
      <c r="P7" s="40" t="s">
        <v>1434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1435</v>
      </c>
      <c r="V7" s="41">
        <v>0</v>
      </c>
      <c r="W7" s="41">
        <v>31320</v>
      </c>
      <c r="X7" s="40" t="s">
        <v>1436</v>
      </c>
      <c r="Y7" s="41">
        <v>0</v>
      </c>
      <c r="Z7" s="40" t="s">
        <v>1437</v>
      </c>
      <c r="AA7" s="40" t="s">
        <v>1438</v>
      </c>
      <c r="AB7" s="41">
        <v>3480</v>
      </c>
      <c r="AC7" s="41">
        <v>10</v>
      </c>
    </row>
    <row r="8" spans="1:29" ht="10" x14ac:dyDescent="0.25">
      <c r="A8" s="40" t="s">
        <v>1446</v>
      </c>
      <c r="B8" s="40" t="s">
        <v>1426</v>
      </c>
      <c r="C8" s="40" t="s">
        <v>162</v>
      </c>
      <c r="D8" s="40" t="s">
        <v>1427</v>
      </c>
      <c r="E8" s="40" t="s">
        <v>1428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1429</v>
      </c>
      <c r="K8" s="41">
        <v>8700</v>
      </c>
      <c r="L8" s="40" t="s">
        <v>1430</v>
      </c>
      <c r="M8" s="40" t="s">
        <v>1431</v>
      </c>
      <c r="N8" s="40" t="s">
        <v>1432</v>
      </c>
      <c r="O8" s="40" t="s">
        <v>1433</v>
      </c>
      <c r="P8" s="40" t="s">
        <v>1434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1435</v>
      </c>
      <c r="V8" s="41">
        <v>0</v>
      </c>
      <c r="W8" s="41">
        <v>7830</v>
      </c>
      <c r="X8" s="40" t="s">
        <v>1436</v>
      </c>
      <c r="Y8" s="41">
        <v>0</v>
      </c>
      <c r="Z8" s="40" t="s">
        <v>1437</v>
      </c>
      <c r="AA8" s="40" t="s">
        <v>1447</v>
      </c>
      <c r="AB8" s="41">
        <v>870</v>
      </c>
      <c r="AC8" s="41">
        <v>10</v>
      </c>
    </row>
    <row r="9" spans="1:29" ht="10" x14ac:dyDescent="0.25">
      <c r="A9" s="40" t="s">
        <v>1448</v>
      </c>
      <c r="B9" s="40" t="s">
        <v>1426</v>
      </c>
      <c r="C9" s="40" t="s">
        <v>162</v>
      </c>
      <c r="D9" s="40" t="s">
        <v>1427</v>
      </c>
      <c r="E9" s="40" t="s">
        <v>1428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1429</v>
      </c>
      <c r="K9" s="41">
        <v>8700</v>
      </c>
      <c r="L9" s="40" t="s">
        <v>1430</v>
      </c>
      <c r="M9" s="40" t="s">
        <v>1431</v>
      </c>
      <c r="N9" s="40" t="s">
        <v>1432</v>
      </c>
      <c r="O9" s="40" t="s">
        <v>1433</v>
      </c>
      <c r="P9" s="40" t="s">
        <v>1434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1435</v>
      </c>
      <c r="V9" s="41">
        <v>0</v>
      </c>
      <c r="W9" s="41">
        <v>7830</v>
      </c>
      <c r="X9" s="40" t="s">
        <v>1436</v>
      </c>
      <c r="Y9" s="41">
        <v>0</v>
      </c>
      <c r="Z9" s="40" t="s">
        <v>1437</v>
      </c>
      <c r="AA9" s="40" t="s">
        <v>1438</v>
      </c>
      <c r="AB9" s="41">
        <v>870</v>
      </c>
      <c r="AC9" s="41">
        <v>10</v>
      </c>
    </row>
    <row r="10" spans="1:29" ht="10" x14ac:dyDescent="0.25">
      <c r="A10" s="40" t="s">
        <v>1449</v>
      </c>
      <c r="B10" s="40" t="s">
        <v>1426</v>
      </c>
      <c r="C10" s="40" t="s">
        <v>162</v>
      </c>
      <c r="D10" s="40" t="s">
        <v>1427</v>
      </c>
      <c r="E10" s="40" t="s">
        <v>1428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1429</v>
      </c>
      <c r="K10" s="41">
        <v>17400</v>
      </c>
      <c r="L10" s="40" t="s">
        <v>1430</v>
      </c>
      <c r="M10" s="40" t="s">
        <v>1431</v>
      </c>
      <c r="N10" s="40" t="s">
        <v>1432</v>
      </c>
      <c r="O10" s="40" t="s">
        <v>1433</v>
      </c>
      <c r="P10" s="40" t="s">
        <v>1434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1435</v>
      </c>
      <c r="V10" s="41">
        <v>0</v>
      </c>
      <c r="W10" s="41">
        <v>15660</v>
      </c>
      <c r="X10" s="40" t="s">
        <v>1436</v>
      </c>
      <c r="Y10" s="41">
        <v>0</v>
      </c>
      <c r="Z10" s="40" t="s">
        <v>1437</v>
      </c>
      <c r="AA10" s="40" t="s">
        <v>1440</v>
      </c>
      <c r="AB10" s="41">
        <v>1740</v>
      </c>
      <c r="AC10" s="41">
        <v>10</v>
      </c>
    </row>
    <row r="11" spans="1:29" ht="10" x14ac:dyDescent="0.25">
      <c r="A11" s="40" t="s">
        <v>1450</v>
      </c>
      <c r="B11" s="40" t="s">
        <v>1426</v>
      </c>
      <c r="C11" s="40" t="s">
        <v>162</v>
      </c>
      <c r="D11" s="40" t="s">
        <v>1427</v>
      </c>
      <c r="E11" s="40" t="s">
        <v>1428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1429</v>
      </c>
      <c r="K11" s="41">
        <v>78300</v>
      </c>
      <c r="L11" s="40" t="s">
        <v>1430</v>
      </c>
      <c r="M11" s="40" t="s">
        <v>1431</v>
      </c>
      <c r="N11" s="40" t="s">
        <v>1432</v>
      </c>
      <c r="O11" s="40" t="s">
        <v>1433</v>
      </c>
      <c r="P11" s="40" t="s">
        <v>1434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1435</v>
      </c>
      <c r="V11" s="41">
        <v>0</v>
      </c>
      <c r="W11" s="41">
        <v>70470</v>
      </c>
      <c r="X11" s="40" t="s">
        <v>1436</v>
      </c>
      <c r="Y11" s="41">
        <v>0</v>
      </c>
      <c r="Z11" s="40" t="s">
        <v>1437</v>
      </c>
      <c r="AA11" s="40" t="s">
        <v>1438</v>
      </c>
      <c r="AB11" s="41">
        <v>7830</v>
      </c>
      <c r="AC11" s="41">
        <v>10</v>
      </c>
    </row>
    <row r="12" spans="1:29" ht="10" x14ac:dyDescent="0.25">
      <c r="A12" s="40" t="s">
        <v>1451</v>
      </c>
      <c r="B12" s="40" t="s">
        <v>1426</v>
      </c>
      <c r="C12" s="40" t="s">
        <v>162</v>
      </c>
      <c r="D12" s="40" t="s">
        <v>1427</v>
      </c>
      <c r="E12" s="40" t="s">
        <v>1428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1429</v>
      </c>
      <c r="K12" s="41">
        <v>52200</v>
      </c>
      <c r="L12" s="40" t="s">
        <v>1430</v>
      </c>
      <c r="M12" s="40" t="s">
        <v>1431</v>
      </c>
      <c r="N12" s="40" t="s">
        <v>1432</v>
      </c>
      <c r="O12" s="40" t="s">
        <v>1433</v>
      </c>
      <c r="P12" s="40" t="s">
        <v>1434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1435</v>
      </c>
      <c r="V12" s="41">
        <v>0</v>
      </c>
      <c r="W12" s="41">
        <v>46980</v>
      </c>
      <c r="X12" s="40" t="s">
        <v>1436</v>
      </c>
      <c r="Y12" s="41">
        <v>0</v>
      </c>
      <c r="Z12" s="40" t="s">
        <v>1437</v>
      </c>
      <c r="AA12" s="40" t="s">
        <v>1452</v>
      </c>
      <c r="AB12" s="41">
        <v>5220</v>
      </c>
      <c r="AC12" s="41">
        <v>10</v>
      </c>
    </row>
    <row r="13" spans="1:29" ht="10" x14ac:dyDescent="0.25">
      <c r="A13" s="40" t="s">
        <v>1453</v>
      </c>
      <c r="B13" s="40" t="s">
        <v>1426</v>
      </c>
      <c r="C13" s="40" t="s">
        <v>162</v>
      </c>
      <c r="D13" s="40" t="s">
        <v>1427</v>
      </c>
      <c r="E13" s="40" t="s">
        <v>1428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1429</v>
      </c>
      <c r="K13" s="41">
        <v>8700</v>
      </c>
      <c r="L13" s="40" t="s">
        <v>1430</v>
      </c>
      <c r="M13" s="40" t="s">
        <v>1431</v>
      </c>
      <c r="N13" s="40" t="s">
        <v>1432</v>
      </c>
      <c r="O13" s="40" t="s">
        <v>1433</v>
      </c>
      <c r="P13" s="40" t="s">
        <v>1434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1435</v>
      </c>
      <c r="V13" s="41">
        <v>0</v>
      </c>
      <c r="W13" s="41">
        <v>7830</v>
      </c>
      <c r="X13" s="40" t="s">
        <v>1436</v>
      </c>
      <c r="Y13" s="41">
        <v>0</v>
      </c>
      <c r="Z13" s="40" t="s">
        <v>1437</v>
      </c>
      <c r="AA13" s="40" t="s">
        <v>1438</v>
      </c>
      <c r="AB13" s="41">
        <v>870</v>
      </c>
      <c r="AC13" s="41">
        <v>10</v>
      </c>
    </row>
    <row r="14" spans="1:29" ht="10" x14ac:dyDescent="0.25">
      <c r="A14" s="40" t="s">
        <v>1454</v>
      </c>
      <c r="B14" s="40" t="s">
        <v>1426</v>
      </c>
      <c r="C14" s="40" t="s">
        <v>162</v>
      </c>
      <c r="D14" s="40" t="s">
        <v>1427</v>
      </c>
      <c r="E14" s="40" t="s">
        <v>1428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1429</v>
      </c>
      <c r="K14" s="41">
        <v>43500</v>
      </c>
      <c r="L14" s="40" t="s">
        <v>1430</v>
      </c>
      <c r="M14" s="40" t="s">
        <v>1431</v>
      </c>
      <c r="N14" s="40" t="s">
        <v>1432</v>
      </c>
      <c r="O14" s="40" t="s">
        <v>1433</v>
      </c>
      <c r="P14" s="40" t="s">
        <v>1434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1435</v>
      </c>
      <c r="V14" s="41">
        <v>0</v>
      </c>
      <c r="W14" s="41">
        <v>39150</v>
      </c>
      <c r="X14" s="40" t="s">
        <v>1436</v>
      </c>
      <c r="Y14" s="41">
        <v>0</v>
      </c>
      <c r="Z14" s="40" t="s">
        <v>1437</v>
      </c>
      <c r="AA14" s="40" t="s">
        <v>1440</v>
      </c>
      <c r="AB14" s="41">
        <v>4350</v>
      </c>
      <c r="AC14" s="41">
        <v>10</v>
      </c>
    </row>
    <row r="15" spans="1:29" ht="10" x14ac:dyDescent="0.25">
      <c r="A15" s="40" t="s">
        <v>1455</v>
      </c>
      <c r="B15" s="40" t="s">
        <v>1426</v>
      </c>
      <c r="C15" s="40" t="s">
        <v>162</v>
      </c>
      <c r="D15" s="40" t="s">
        <v>1427</v>
      </c>
      <c r="E15" s="40" t="s">
        <v>1428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1429</v>
      </c>
      <c r="K15" s="41">
        <v>26100</v>
      </c>
      <c r="L15" s="40" t="s">
        <v>1430</v>
      </c>
      <c r="M15" s="40" t="s">
        <v>1431</v>
      </c>
      <c r="N15" s="40" t="s">
        <v>1432</v>
      </c>
      <c r="O15" s="40" t="s">
        <v>1433</v>
      </c>
      <c r="P15" s="40" t="s">
        <v>1434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1435</v>
      </c>
      <c r="V15" s="41">
        <v>0</v>
      </c>
      <c r="W15" s="41">
        <v>23490</v>
      </c>
      <c r="X15" s="40" t="s">
        <v>1436</v>
      </c>
      <c r="Y15" s="41">
        <v>0</v>
      </c>
      <c r="Z15" s="40" t="s">
        <v>1437</v>
      </c>
      <c r="AA15" s="40" t="s">
        <v>1452</v>
      </c>
      <c r="AB15" s="41">
        <v>2610</v>
      </c>
      <c r="AC15" s="41">
        <v>10</v>
      </c>
    </row>
    <row r="16" spans="1:29" ht="10" x14ac:dyDescent="0.25">
      <c r="A16" s="40" t="s">
        <v>1456</v>
      </c>
      <c r="B16" s="40" t="s">
        <v>1426</v>
      </c>
      <c r="C16" s="40" t="s">
        <v>162</v>
      </c>
      <c r="D16" s="40" t="s">
        <v>1427</v>
      </c>
      <c r="E16" s="40" t="s">
        <v>1428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1429</v>
      </c>
      <c r="K16" s="41">
        <v>26100</v>
      </c>
      <c r="L16" s="40" t="s">
        <v>1430</v>
      </c>
      <c r="M16" s="40" t="s">
        <v>1431</v>
      </c>
      <c r="N16" s="40" t="s">
        <v>1432</v>
      </c>
      <c r="O16" s="40" t="s">
        <v>1433</v>
      </c>
      <c r="P16" s="40" t="s">
        <v>1434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1435</v>
      </c>
      <c r="V16" s="41">
        <v>0</v>
      </c>
      <c r="W16" s="41">
        <v>23490</v>
      </c>
      <c r="X16" s="40" t="s">
        <v>1436</v>
      </c>
      <c r="Y16" s="41">
        <v>0</v>
      </c>
      <c r="Z16" s="40" t="s">
        <v>1437</v>
      </c>
      <c r="AA16" s="40" t="s">
        <v>1438</v>
      </c>
      <c r="AB16" s="41">
        <v>2610</v>
      </c>
      <c r="AC16" s="41">
        <v>10</v>
      </c>
    </row>
    <row r="17" spans="1:29" ht="10" x14ac:dyDescent="0.25">
      <c r="A17" s="40" t="s">
        <v>1457</v>
      </c>
      <c r="B17" s="40" t="s">
        <v>1426</v>
      </c>
      <c r="C17" s="40" t="s">
        <v>162</v>
      </c>
      <c r="D17" s="40" t="s">
        <v>1427</v>
      </c>
      <c r="E17" s="40" t="s">
        <v>1428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1429</v>
      </c>
      <c r="K17" s="41">
        <v>34800</v>
      </c>
      <c r="L17" s="40" t="s">
        <v>1430</v>
      </c>
      <c r="M17" s="40" t="s">
        <v>1431</v>
      </c>
      <c r="N17" s="40" t="s">
        <v>1432</v>
      </c>
      <c r="O17" s="40" t="s">
        <v>1433</v>
      </c>
      <c r="P17" s="40" t="s">
        <v>1434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1435</v>
      </c>
      <c r="V17" s="41">
        <v>0</v>
      </c>
      <c r="W17" s="41">
        <v>31320</v>
      </c>
      <c r="X17" s="40" t="s">
        <v>1436</v>
      </c>
      <c r="Y17" s="41">
        <v>0</v>
      </c>
      <c r="Z17" s="40" t="s">
        <v>1437</v>
      </c>
      <c r="AA17" s="40" t="s">
        <v>1440</v>
      </c>
      <c r="AB17" s="41">
        <v>3480</v>
      </c>
      <c r="AC17" s="41">
        <v>10</v>
      </c>
    </row>
    <row r="18" spans="1:29" ht="10" x14ac:dyDescent="0.25">
      <c r="A18" s="40" t="s">
        <v>1458</v>
      </c>
      <c r="B18" s="40" t="s">
        <v>1426</v>
      </c>
      <c r="C18" s="40" t="s">
        <v>162</v>
      </c>
      <c r="D18" s="40" t="s">
        <v>1427</v>
      </c>
      <c r="E18" s="40" t="s">
        <v>1428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1429</v>
      </c>
      <c r="K18" s="41">
        <v>26100</v>
      </c>
      <c r="L18" s="40" t="s">
        <v>1430</v>
      </c>
      <c r="M18" s="40" t="s">
        <v>1431</v>
      </c>
      <c r="N18" s="40" t="s">
        <v>1432</v>
      </c>
      <c r="O18" s="40" t="s">
        <v>1433</v>
      </c>
      <c r="P18" s="40" t="s">
        <v>1434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1435</v>
      </c>
      <c r="V18" s="41">
        <v>0</v>
      </c>
      <c r="W18" s="41">
        <v>23490</v>
      </c>
      <c r="X18" s="40" t="s">
        <v>1436</v>
      </c>
      <c r="Y18" s="41">
        <v>0</v>
      </c>
      <c r="Z18" s="40" t="s">
        <v>1437</v>
      </c>
      <c r="AA18" s="40" t="s">
        <v>1430</v>
      </c>
      <c r="AB18" s="41">
        <v>2610</v>
      </c>
      <c r="AC18" s="41">
        <v>10</v>
      </c>
    </row>
    <row r="19" spans="1:29" ht="10" x14ac:dyDescent="0.25">
      <c r="A19" s="40" t="s">
        <v>1459</v>
      </c>
      <c r="B19" s="40" t="s">
        <v>1426</v>
      </c>
      <c r="C19" s="40" t="s">
        <v>162</v>
      </c>
      <c r="D19" s="40" t="s">
        <v>1427</v>
      </c>
      <c r="E19" s="40" t="s">
        <v>1428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1429</v>
      </c>
      <c r="K19" s="41">
        <v>34800</v>
      </c>
      <c r="L19" s="40" t="s">
        <v>1430</v>
      </c>
      <c r="M19" s="40" t="s">
        <v>1431</v>
      </c>
      <c r="N19" s="40" t="s">
        <v>1432</v>
      </c>
      <c r="O19" s="40" t="s">
        <v>1433</v>
      </c>
      <c r="P19" s="40" t="s">
        <v>1434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1435</v>
      </c>
      <c r="V19" s="41">
        <v>0</v>
      </c>
      <c r="W19" s="41">
        <v>31320</v>
      </c>
      <c r="X19" s="40" t="s">
        <v>1436</v>
      </c>
      <c r="Y19" s="41">
        <v>0</v>
      </c>
      <c r="Z19" s="40" t="s">
        <v>1437</v>
      </c>
      <c r="AA19" s="40" t="s">
        <v>1452</v>
      </c>
      <c r="AB19" s="41">
        <v>3480</v>
      </c>
      <c r="AC19" s="41">
        <v>10</v>
      </c>
    </row>
    <row r="20" spans="1:29" ht="10" x14ac:dyDescent="0.25">
      <c r="A20" s="40" t="s">
        <v>1460</v>
      </c>
      <c r="B20" s="40" t="s">
        <v>1426</v>
      </c>
      <c r="C20" s="40" t="s">
        <v>162</v>
      </c>
      <c r="D20" s="40" t="s">
        <v>1427</v>
      </c>
      <c r="E20" s="40" t="s">
        <v>1428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1429</v>
      </c>
      <c r="K20" s="41">
        <v>34800</v>
      </c>
      <c r="L20" s="40" t="s">
        <v>1430</v>
      </c>
      <c r="M20" s="40" t="s">
        <v>1431</v>
      </c>
      <c r="N20" s="40" t="s">
        <v>1432</v>
      </c>
      <c r="O20" s="40" t="s">
        <v>1433</v>
      </c>
      <c r="P20" s="40" t="s">
        <v>1434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1435</v>
      </c>
      <c r="V20" s="41">
        <v>0</v>
      </c>
      <c r="W20" s="41">
        <v>31320</v>
      </c>
      <c r="X20" s="40" t="s">
        <v>1436</v>
      </c>
      <c r="Y20" s="41">
        <v>0</v>
      </c>
      <c r="Z20" s="40" t="s">
        <v>1437</v>
      </c>
      <c r="AA20" s="40" t="s">
        <v>1452</v>
      </c>
      <c r="AB20" s="41">
        <v>3480</v>
      </c>
      <c r="AC20" s="41">
        <v>10</v>
      </c>
    </row>
    <row r="21" spans="1:29" ht="10" x14ac:dyDescent="0.25">
      <c r="A21" s="40" t="s">
        <v>1461</v>
      </c>
      <c r="B21" s="40" t="s">
        <v>1426</v>
      </c>
      <c r="C21" s="40" t="s">
        <v>162</v>
      </c>
      <c r="D21" s="40" t="s">
        <v>1427</v>
      </c>
      <c r="E21" s="40" t="s">
        <v>1428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1429</v>
      </c>
      <c r="K21" s="41">
        <v>104400</v>
      </c>
      <c r="L21" s="40" t="s">
        <v>1430</v>
      </c>
      <c r="M21" s="40" t="s">
        <v>1431</v>
      </c>
      <c r="N21" s="40" t="s">
        <v>1462</v>
      </c>
      <c r="O21" s="40" t="s">
        <v>1433</v>
      </c>
      <c r="P21" s="40" t="s">
        <v>1434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1435</v>
      </c>
      <c r="V21" s="41">
        <v>0</v>
      </c>
      <c r="W21" s="41">
        <v>93960</v>
      </c>
      <c r="X21" s="40" t="s">
        <v>1436</v>
      </c>
      <c r="Y21" s="41">
        <v>0</v>
      </c>
      <c r="Z21" s="40" t="s">
        <v>1437</v>
      </c>
      <c r="AA21" s="40" t="s">
        <v>1440</v>
      </c>
      <c r="AB21" s="41">
        <v>10440</v>
      </c>
      <c r="AC21" s="41">
        <v>10</v>
      </c>
    </row>
    <row r="22" spans="1:29" ht="10" x14ac:dyDescent="0.25">
      <c r="A22" s="40" t="s">
        <v>1463</v>
      </c>
      <c r="B22" s="40" t="s">
        <v>1426</v>
      </c>
      <c r="C22" s="40" t="s">
        <v>162</v>
      </c>
      <c r="D22" s="40" t="s">
        <v>1427</v>
      </c>
      <c r="E22" s="40" t="s">
        <v>1428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1429</v>
      </c>
      <c r="K22" s="41">
        <v>34800</v>
      </c>
      <c r="L22" s="40" t="s">
        <v>1430</v>
      </c>
      <c r="M22" s="40" t="s">
        <v>1431</v>
      </c>
      <c r="N22" s="40" t="s">
        <v>1432</v>
      </c>
      <c r="O22" s="40" t="s">
        <v>1433</v>
      </c>
      <c r="P22" s="40" t="s">
        <v>1434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1435</v>
      </c>
      <c r="V22" s="41">
        <v>0</v>
      </c>
      <c r="W22" s="41">
        <v>31320</v>
      </c>
      <c r="X22" s="40" t="s">
        <v>1436</v>
      </c>
      <c r="Y22" s="41">
        <v>0</v>
      </c>
      <c r="Z22" s="40" t="s">
        <v>1437</v>
      </c>
      <c r="AA22" s="40" t="s">
        <v>1438</v>
      </c>
      <c r="AB22" s="41">
        <v>3480</v>
      </c>
      <c r="AC22" s="41">
        <v>10</v>
      </c>
    </row>
    <row r="23" spans="1:29" ht="10" x14ac:dyDescent="0.25">
      <c r="A23" s="40" t="s">
        <v>1464</v>
      </c>
      <c r="B23" s="40" t="s">
        <v>1426</v>
      </c>
      <c r="C23" s="40" t="s">
        <v>162</v>
      </c>
      <c r="D23" s="40" t="s">
        <v>1427</v>
      </c>
      <c r="E23" s="40" t="s">
        <v>1428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1429</v>
      </c>
      <c r="K23" s="41">
        <v>52200</v>
      </c>
      <c r="L23" s="40" t="s">
        <v>1430</v>
      </c>
      <c r="M23" s="40" t="s">
        <v>1431</v>
      </c>
      <c r="N23" s="40" t="s">
        <v>1432</v>
      </c>
      <c r="O23" s="40" t="s">
        <v>1433</v>
      </c>
      <c r="P23" s="40" t="s">
        <v>1434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1435</v>
      </c>
      <c r="V23" s="41">
        <v>0</v>
      </c>
      <c r="W23" s="41">
        <v>46980</v>
      </c>
      <c r="X23" s="40" t="s">
        <v>1436</v>
      </c>
      <c r="Y23" s="41">
        <v>0</v>
      </c>
      <c r="Z23" s="40" t="s">
        <v>1437</v>
      </c>
      <c r="AA23" s="40" t="s">
        <v>1452</v>
      </c>
      <c r="AB23" s="41">
        <v>5220</v>
      </c>
      <c r="AC23" s="41">
        <v>10</v>
      </c>
    </row>
    <row r="24" spans="1:29" ht="10" x14ac:dyDescent="0.25">
      <c r="A24" s="40" t="s">
        <v>1465</v>
      </c>
      <c r="B24" s="40" t="s">
        <v>1426</v>
      </c>
      <c r="C24" s="40" t="s">
        <v>162</v>
      </c>
      <c r="D24" s="40" t="s">
        <v>1427</v>
      </c>
      <c r="E24" s="40" t="s">
        <v>1428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1429</v>
      </c>
      <c r="K24" s="41">
        <v>26100</v>
      </c>
      <c r="L24" s="40" t="s">
        <v>1430</v>
      </c>
      <c r="M24" s="40" t="s">
        <v>1431</v>
      </c>
      <c r="N24" s="40" t="s">
        <v>1432</v>
      </c>
      <c r="O24" s="40" t="s">
        <v>1433</v>
      </c>
      <c r="P24" s="40" t="s">
        <v>1434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1435</v>
      </c>
      <c r="V24" s="41">
        <v>0</v>
      </c>
      <c r="W24" s="41">
        <v>23490</v>
      </c>
      <c r="X24" s="40" t="s">
        <v>1436</v>
      </c>
      <c r="Y24" s="41">
        <v>0</v>
      </c>
      <c r="Z24" s="40" t="s">
        <v>1437</v>
      </c>
      <c r="AA24" s="40" t="s">
        <v>1438</v>
      </c>
      <c r="AB24" s="41">
        <v>2610</v>
      </c>
      <c r="AC24" s="41">
        <v>10</v>
      </c>
    </row>
    <row r="25" spans="1:29" ht="10" x14ac:dyDescent="0.25">
      <c r="A25" s="40" t="s">
        <v>1466</v>
      </c>
      <c r="B25" s="40" t="s">
        <v>1426</v>
      </c>
      <c r="C25" s="40" t="s">
        <v>162</v>
      </c>
      <c r="D25" s="40" t="s">
        <v>1427</v>
      </c>
      <c r="E25" s="40" t="s">
        <v>1428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1429</v>
      </c>
      <c r="K25" s="41">
        <v>34800</v>
      </c>
      <c r="L25" s="40" t="s">
        <v>1430</v>
      </c>
      <c r="M25" s="40" t="s">
        <v>1431</v>
      </c>
      <c r="N25" s="40" t="s">
        <v>1432</v>
      </c>
      <c r="O25" s="40" t="s">
        <v>1433</v>
      </c>
      <c r="P25" s="40" t="s">
        <v>1434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1435</v>
      </c>
      <c r="V25" s="41">
        <v>0</v>
      </c>
      <c r="W25" s="41">
        <v>31320</v>
      </c>
      <c r="X25" s="40" t="s">
        <v>1436</v>
      </c>
      <c r="Y25" s="41">
        <v>0</v>
      </c>
      <c r="Z25" s="40" t="s">
        <v>1437</v>
      </c>
      <c r="AA25" s="40" t="s">
        <v>1447</v>
      </c>
      <c r="AB25" s="41">
        <v>3480</v>
      </c>
      <c r="AC25" s="41">
        <v>10</v>
      </c>
    </row>
    <row r="26" spans="1:29" ht="10" x14ac:dyDescent="0.25">
      <c r="A26" s="40" t="s">
        <v>1467</v>
      </c>
      <c r="B26" s="40" t="s">
        <v>1426</v>
      </c>
      <c r="C26" s="40" t="s">
        <v>162</v>
      </c>
      <c r="D26" s="40" t="s">
        <v>1427</v>
      </c>
      <c r="E26" s="40" t="s">
        <v>1428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1429</v>
      </c>
      <c r="K26" s="41">
        <v>17400</v>
      </c>
      <c r="L26" s="40" t="s">
        <v>1430</v>
      </c>
      <c r="M26" s="40" t="s">
        <v>1431</v>
      </c>
      <c r="N26" s="40" t="s">
        <v>1468</v>
      </c>
      <c r="O26" s="40" t="s">
        <v>1433</v>
      </c>
      <c r="P26" s="40" t="s">
        <v>1434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1435</v>
      </c>
      <c r="V26" s="41">
        <v>0</v>
      </c>
      <c r="W26" s="41">
        <v>15660</v>
      </c>
      <c r="X26" s="40" t="s">
        <v>1436</v>
      </c>
      <c r="Y26" s="41">
        <v>0</v>
      </c>
      <c r="Z26" s="40" t="s">
        <v>1437</v>
      </c>
      <c r="AA26" s="40" t="s">
        <v>1452</v>
      </c>
      <c r="AB26" s="41">
        <v>1740</v>
      </c>
      <c r="AC26" s="41">
        <v>10</v>
      </c>
    </row>
    <row r="27" spans="1:29" ht="10" x14ac:dyDescent="0.25">
      <c r="A27" s="40" t="s">
        <v>1469</v>
      </c>
      <c r="B27" s="40" t="s">
        <v>1426</v>
      </c>
      <c r="C27" s="40" t="s">
        <v>162</v>
      </c>
      <c r="D27" s="40" t="s">
        <v>1427</v>
      </c>
      <c r="E27" s="40" t="s">
        <v>1428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1429</v>
      </c>
      <c r="K27" s="41">
        <v>8700</v>
      </c>
      <c r="L27" s="40" t="s">
        <v>1430</v>
      </c>
      <c r="M27" s="40" t="s">
        <v>1431</v>
      </c>
      <c r="N27" s="40" t="s">
        <v>1432</v>
      </c>
      <c r="O27" s="40" t="s">
        <v>1433</v>
      </c>
      <c r="P27" s="40" t="s">
        <v>1434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1435</v>
      </c>
      <c r="V27" s="41">
        <v>0</v>
      </c>
      <c r="W27" s="41">
        <v>7830</v>
      </c>
      <c r="X27" s="40" t="s">
        <v>1436</v>
      </c>
      <c r="Y27" s="41">
        <v>0</v>
      </c>
      <c r="Z27" s="40" t="s">
        <v>1437</v>
      </c>
      <c r="AA27" s="40" t="s">
        <v>1452</v>
      </c>
      <c r="AB27" s="41">
        <v>870</v>
      </c>
      <c r="AC27" s="41">
        <v>10</v>
      </c>
    </row>
    <row r="28" spans="1:29" ht="10" x14ac:dyDescent="0.25">
      <c r="A28" s="40" t="s">
        <v>1470</v>
      </c>
      <c r="B28" s="40" t="s">
        <v>1426</v>
      </c>
      <c r="C28" s="40" t="s">
        <v>162</v>
      </c>
      <c r="D28" s="40" t="s">
        <v>1427</v>
      </c>
      <c r="E28" s="40" t="s">
        <v>1428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1429</v>
      </c>
      <c r="K28" s="41">
        <v>17400</v>
      </c>
      <c r="L28" s="40" t="s">
        <v>1430</v>
      </c>
      <c r="M28" s="40" t="s">
        <v>1431</v>
      </c>
      <c r="N28" s="40" t="s">
        <v>1432</v>
      </c>
      <c r="O28" s="40" t="s">
        <v>1433</v>
      </c>
      <c r="P28" s="40" t="s">
        <v>1434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1435</v>
      </c>
      <c r="V28" s="41">
        <v>0</v>
      </c>
      <c r="W28" s="41">
        <v>15660</v>
      </c>
      <c r="X28" s="40" t="s">
        <v>1436</v>
      </c>
      <c r="Y28" s="41">
        <v>0</v>
      </c>
      <c r="Z28" s="40" t="s">
        <v>1437</v>
      </c>
      <c r="AA28" s="40" t="s">
        <v>1452</v>
      </c>
      <c r="AB28" s="41">
        <v>1740</v>
      </c>
      <c r="AC28" s="41">
        <v>10</v>
      </c>
    </row>
    <row r="29" spans="1:29" ht="10" x14ac:dyDescent="0.25">
      <c r="A29" s="40" t="s">
        <v>1471</v>
      </c>
      <c r="B29" s="40" t="s">
        <v>1426</v>
      </c>
      <c r="C29" s="40" t="s">
        <v>162</v>
      </c>
      <c r="D29" s="40" t="s">
        <v>1427</v>
      </c>
      <c r="E29" s="40" t="s">
        <v>1428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1429</v>
      </c>
      <c r="K29" s="41">
        <v>8700</v>
      </c>
      <c r="L29" s="40" t="s">
        <v>1430</v>
      </c>
      <c r="M29" s="40" t="s">
        <v>1431</v>
      </c>
      <c r="N29" s="40" t="s">
        <v>1432</v>
      </c>
      <c r="O29" s="40" t="s">
        <v>1433</v>
      </c>
      <c r="P29" s="40" t="s">
        <v>1434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1435</v>
      </c>
      <c r="V29" s="41">
        <v>0</v>
      </c>
      <c r="W29" s="41">
        <v>7830</v>
      </c>
      <c r="X29" s="40" t="s">
        <v>1436</v>
      </c>
      <c r="Y29" s="41">
        <v>0</v>
      </c>
      <c r="Z29" s="40" t="s">
        <v>1437</v>
      </c>
      <c r="AA29" s="40" t="s">
        <v>1443</v>
      </c>
      <c r="AB29" s="41">
        <v>870</v>
      </c>
      <c r="AC29" s="41">
        <v>10</v>
      </c>
    </row>
    <row r="30" spans="1:29" ht="10" x14ac:dyDescent="0.25">
      <c r="A30" s="40" t="s">
        <v>1472</v>
      </c>
      <c r="B30" s="40" t="s">
        <v>1426</v>
      </c>
      <c r="C30" s="40" t="s">
        <v>162</v>
      </c>
      <c r="D30" s="40" t="s">
        <v>1427</v>
      </c>
      <c r="E30" s="40" t="s">
        <v>1428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1429</v>
      </c>
      <c r="K30" s="41">
        <v>17400</v>
      </c>
      <c r="L30" s="40" t="s">
        <v>1430</v>
      </c>
      <c r="M30" s="40" t="s">
        <v>1431</v>
      </c>
      <c r="N30" s="40" t="s">
        <v>1432</v>
      </c>
      <c r="O30" s="40" t="s">
        <v>1433</v>
      </c>
      <c r="P30" s="40" t="s">
        <v>1434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1435</v>
      </c>
      <c r="V30" s="41">
        <v>0</v>
      </c>
      <c r="W30" s="41">
        <v>15660</v>
      </c>
      <c r="X30" s="40" t="s">
        <v>1436</v>
      </c>
      <c r="Y30" s="41">
        <v>0</v>
      </c>
      <c r="Z30" s="40" t="s">
        <v>1437</v>
      </c>
      <c r="AA30" s="40" t="s">
        <v>1452</v>
      </c>
      <c r="AB30" s="41">
        <v>1740</v>
      </c>
      <c r="AC30" s="41">
        <v>10</v>
      </c>
    </row>
    <row r="31" spans="1:29" ht="10" x14ac:dyDescent="0.25">
      <c r="A31" s="40" t="s">
        <v>1473</v>
      </c>
      <c r="B31" s="40" t="s">
        <v>1426</v>
      </c>
      <c r="C31" s="40" t="s">
        <v>162</v>
      </c>
      <c r="D31" s="40" t="s">
        <v>1427</v>
      </c>
      <c r="E31" s="40" t="s">
        <v>1428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1429</v>
      </c>
      <c r="K31" s="41">
        <v>17400</v>
      </c>
      <c r="L31" s="40" t="s">
        <v>1430</v>
      </c>
      <c r="M31" s="40" t="s">
        <v>1431</v>
      </c>
      <c r="N31" s="40" t="s">
        <v>1432</v>
      </c>
      <c r="O31" s="40" t="s">
        <v>1433</v>
      </c>
      <c r="P31" s="40" t="s">
        <v>1434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1435</v>
      </c>
      <c r="V31" s="41">
        <v>0</v>
      </c>
      <c r="W31" s="41">
        <v>15660</v>
      </c>
      <c r="X31" s="40" t="s">
        <v>1436</v>
      </c>
      <c r="Y31" s="41">
        <v>0</v>
      </c>
      <c r="Z31" s="40" t="s">
        <v>1437</v>
      </c>
      <c r="AA31" s="40" t="s">
        <v>1474</v>
      </c>
      <c r="AB31" s="41">
        <v>1740</v>
      </c>
      <c r="AC31" s="41">
        <v>10</v>
      </c>
    </row>
    <row r="32" spans="1:29" ht="10" x14ac:dyDescent="0.25">
      <c r="A32" s="40" t="s">
        <v>1475</v>
      </c>
      <c r="B32" s="40" t="s">
        <v>1426</v>
      </c>
      <c r="C32" s="40" t="s">
        <v>162</v>
      </c>
      <c r="D32" s="40" t="s">
        <v>1427</v>
      </c>
      <c r="E32" s="40" t="s">
        <v>1428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1429</v>
      </c>
      <c r="K32" s="41">
        <v>26100</v>
      </c>
      <c r="L32" s="40" t="s">
        <v>1430</v>
      </c>
      <c r="M32" s="40" t="s">
        <v>1431</v>
      </c>
      <c r="N32" s="40" t="s">
        <v>1432</v>
      </c>
      <c r="O32" s="40" t="s">
        <v>1433</v>
      </c>
      <c r="P32" s="40" t="s">
        <v>1434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1435</v>
      </c>
      <c r="V32" s="41">
        <v>0</v>
      </c>
      <c r="W32" s="41">
        <v>23490</v>
      </c>
      <c r="X32" s="40" t="s">
        <v>1436</v>
      </c>
      <c r="Y32" s="41">
        <v>0</v>
      </c>
      <c r="Z32" s="40" t="s">
        <v>1437</v>
      </c>
      <c r="AA32" s="40" t="s">
        <v>1430</v>
      </c>
      <c r="AB32" s="41">
        <v>2610</v>
      </c>
      <c r="AC32" s="41">
        <v>10</v>
      </c>
    </row>
    <row r="33" spans="1:29" ht="10" x14ac:dyDescent="0.25">
      <c r="A33" s="40" t="s">
        <v>1476</v>
      </c>
      <c r="B33" s="40" t="s">
        <v>1426</v>
      </c>
      <c r="C33" s="40" t="s">
        <v>162</v>
      </c>
      <c r="D33" s="40" t="s">
        <v>1427</v>
      </c>
      <c r="E33" s="40" t="s">
        <v>1428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1429</v>
      </c>
      <c r="K33" s="41">
        <v>8700</v>
      </c>
      <c r="L33" s="40" t="s">
        <v>1430</v>
      </c>
      <c r="M33" s="40" t="s">
        <v>1431</v>
      </c>
      <c r="N33" s="40" t="s">
        <v>1432</v>
      </c>
      <c r="O33" s="40" t="s">
        <v>1433</v>
      </c>
      <c r="P33" s="40" t="s">
        <v>1434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1435</v>
      </c>
      <c r="V33" s="41">
        <v>0</v>
      </c>
      <c r="W33" s="41">
        <v>7830</v>
      </c>
      <c r="X33" s="40" t="s">
        <v>1436</v>
      </c>
      <c r="Y33" s="41">
        <v>0</v>
      </c>
      <c r="Z33" s="40" t="s">
        <v>1437</v>
      </c>
      <c r="AA33" s="40" t="s">
        <v>1474</v>
      </c>
      <c r="AB33" s="41">
        <v>870</v>
      </c>
      <c r="AC33" s="41">
        <v>10</v>
      </c>
    </row>
    <row r="34" spans="1:29" ht="10" x14ac:dyDescent="0.25">
      <c r="A34" s="40" t="s">
        <v>1477</v>
      </c>
      <c r="B34" s="40" t="s">
        <v>1426</v>
      </c>
      <c r="C34" s="40" t="s">
        <v>162</v>
      </c>
      <c r="D34" s="40" t="s">
        <v>1427</v>
      </c>
      <c r="E34" s="40" t="s">
        <v>1428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1429</v>
      </c>
      <c r="K34" s="41">
        <v>69600</v>
      </c>
      <c r="L34" s="40" t="s">
        <v>1478</v>
      </c>
      <c r="M34" s="40" t="s">
        <v>1431</v>
      </c>
      <c r="N34" s="40" t="s">
        <v>1432</v>
      </c>
      <c r="O34" s="40" t="s">
        <v>1433</v>
      </c>
      <c r="P34" s="40" t="s">
        <v>1434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1435</v>
      </c>
      <c r="V34" s="41">
        <v>0</v>
      </c>
      <c r="W34" s="41">
        <v>62640</v>
      </c>
      <c r="X34" s="40" t="s">
        <v>1436</v>
      </c>
      <c r="Y34" s="41">
        <v>0</v>
      </c>
      <c r="Z34" s="40" t="s">
        <v>1437</v>
      </c>
      <c r="AA34" s="40" t="s">
        <v>1447</v>
      </c>
      <c r="AB34" s="41">
        <v>6960</v>
      </c>
      <c r="AC34" s="41">
        <v>10</v>
      </c>
    </row>
    <row r="35" spans="1:29" ht="10" x14ac:dyDescent="0.25">
      <c r="A35" s="40" t="s">
        <v>1479</v>
      </c>
      <c r="B35" s="40" t="s">
        <v>1426</v>
      </c>
      <c r="C35" s="40" t="s">
        <v>162</v>
      </c>
      <c r="D35" s="40" t="s">
        <v>1427</v>
      </c>
      <c r="E35" s="40" t="s">
        <v>1428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1429</v>
      </c>
      <c r="K35" s="41">
        <v>8700</v>
      </c>
      <c r="L35" s="40" t="s">
        <v>1478</v>
      </c>
      <c r="M35" s="40" t="s">
        <v>1431</v>
      </c>
      <c r="N35" s="40" t="s">
        <v>1432</v>
      </c>
      <c r="O35" s="40" t="s">
        <v>1433</v>
      </c>
      <c r="P35" s="40" t="s">
        <v>1434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1435</v>
      </c>
      <c r="V35" s="41">
        <v>0</v>
      </c>
      <c r="W35" s="41">
        <v>7830</v>
      </c>
      <c r="X35" s="40" t="s">
        <v>1436</v>
      </c>
      <c r="Y35" s="41">
        <v>0</v>
      </c>
      <c r="Z35" s="40" t="s">
        <v>1437</v>
      </c>
      <c r="AA35" s="40" t="s">
        <v>1438</v>
      </c>
      <c r="AB35" s="41">
        <v>870</v>
      </c>
      <c r="AC35" s="41">
        <v>10</v>
      </c>
    </row>
    <row r="36" spans="1:29" ht="10" x14ac:dyDescent="0.25">
      <c r="A36" s="40" t="s">
        <v>1480</v>
      </c>
      <c r="B36" s="40" t="s">
        <v>1426</v>
      </c>
      <c r="C36" s="40" t="s">
        <v>162</v>
      </c>
      <c r="D36" s="40" t="s">
        <v>1427</v>
      </c>
      <c r="E36" s="40" t="s">
        <v>1428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1429</v>
      </c>
      <c r="K36" s="41">
        <v>8700</v>
      </c>
      <c r="L36" s="40" t="s">
        <v>1430</v>
      </c>
      <c r="M36" s="40" t="s">
        <v>1431</v>
      </c>
      <c r="N36" s="40" t="s">
        <v>1481</v>
      </c>
      <c r="O36" s="40" t="s">
        <v>1433</v>
      </c>
      <c r="P36" s="40" t="s">
        <v>1434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1435</v>
      </c>
      <c r="V36" s="41">
        <v>0</v>
      </c>
      <c r="W36" s="41">
        <v>7830</v>
      </c>
      <c r="X36" s="40" t="s">
        <v>1436</v>
      </c>
      <c r="Y36" s="41">
        <v>0</v>
      </c>
      <c r="Z36" s="40" t="s">
        <v>1437</v>
      </c>
      <c r="AA36" s="40" t="s">
        <v>1443</v>
      </c>
      <c r="AB36" s="41">
        <v>870</v>
      </c>
      <c r="AC36" s="41">
        <v>10</v>
      </c>
    </row>
    <row r="37" spans="1:29" ht="10" x14ac:dyDescent="0.25">
      <c r="A37" s="40" t="s">
        <v>1482</v>
      </c>
      <c r="B37" s="40" t="s">
        <v>1426</v>
      </c>
      <c r="C37" s="40" t="s">
        <v>162</v>
      </c>
      <c r="D37" s="40" t="s">
        <v>1427</v>
      </c>
      <c r="E37" s="40" t="s">
        <v>1428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1429</v>
      </c>
      <c r="K37" s="41">
        <v>8700</v>
      </c>
      <c r="L37" s="40" t="s">
        <v>1430</v>
      </c>
      <c r="M37" s="40" t="s">
        <v>1431</v>
      </c>
      <c r="N37" s="40" t="s">
        <v>1432</v>
      </c>
      <c r="O37" s="40" t="s">
        <v>1433</v>
      </c>
      <c r="P37" s="40" t="s">
        <v>1434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1435</v>
      </c>
      <c r="V37" s="41">
        <v>0</v>
      </c>
      <c r="W37" s="41">
        <v>7830</v>
      </c>
      <c r="X37" s="40" t="s">
        <v>1436</v>
      </c>
      <c r="Y37" s="41">
        <v>0</v>
      </c>
      <c r="Z37" s="40" t="s">
        <v>1437</v>
      </c>
      <c r="AA37" s="40" t="s">
        <v>1452</v>
      </c>
      <c r="AB37" s="41">
        <v>870</v>
      </c>
      <c r="AC37" s="41">
        <v>10</v>
      </c>
    </row>
    <row r="38" spans="1:29" ht="10" x14ac:dyDescent="0.25">
      <c r="A38" s="40" t="s">
        <v>1483</v>
      </c>
      <c r="B38" s="40" t="s">
        <v>1426</v>
      </c>
      <c r="C38" s="40" t="s">
        <v>162</v>
      </c>
      <c r="D38" s="40" t="s">
        <v>1427</v>
      </c>
      <c r="E38" s="40" t="s">
        <v>1428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1429</v>
      </c>
      <c r="K38" s="41">
        <v>8700</v>
      </c>
      <c r="L38" s="40" t="s">
        <v>1430</v>
      </c>
      <c r="M38" s="40" t="s">
        <v>1431</v>
      </c>
      <c r="N38" s="40" t="s">
        <v>1432</v>
      </c>
      <c r="O38" s="40" t="s">
        <v>1433</v>
      </c>
      <c r="P38" s="40" t="s">
        <v>1434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1435</v>
      </c>
      <c r="V38" s="41">
        <v>0</v>
      </c>
      <c r="W38" s="41">
        <v>7830</v>
      </c>
      <c r="X38" s="40" t="s">
        <v>1436</v>
      </c>
      <c r="Y38" s="41">
        <v>0</v>
      </c>
      <c r="Z38" s="40" t="s">
        <v>1437</v>
      </c>
      <c r="AA38" s="40" t="s">
        <v>1452</v>
      </c>
      <c r="AB38" s="41">
        <v>870</v>
      </c>
      <c r="AC38" s="41">
        <v>10</v>
      </c>
    </row>
    <row r="39" spans="1:29" ht="10" x14ac:dyDescent="0.25">
      <c r="A39" s="40" t="s">
        <v>1484</v>
      </c>
      <c r="B39" s="40" t="s">
        <v>1426</v>
      </c>
      <c r="C39" s="40" t="s">
        <v>162</v>
      </c>
      <c r="D39" s="40" t="s">
        <v>1427</v>
      </c>
      <c r="E39" s="40" t="s">
        <v>1428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1429</v>
      </c>
      <c r="K39" s="41">
        <v>8700</v>
      </c>
      <c r="L39" s="40" t="s">
        <v>1430</v>
      </c>
      <c r="M39" s="40" t="s">
        <v>1431</v>
      </c>
      <c r="N39" s="40" t="s">
        <v>1432</v>
      </c>
      <c r="O39" s="40" t="s">
        <v>1433</v>
      </c>
      <c r="P39" s="40" t="s">
        <v>1434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1435</v>
      </c>
      <c r="V39" s="41">
        <v>0</v>
      </c>
      <c r="W39" s="41">
        <v>7830</v>
      </c>
      <c r="X39" s="40" t="s">
        <v>1436</v>
      </c>
      <c r="Y39" s="41">
        <v>0</v>
      </c>
      <c r="Z39" s="40" t="s">
        <v>1437</v>
      </c>
      <c r="AA39" s="40" t="s">
        <v>1438</v>
      </c>
      <c r="AB39" s="41">
        <v>870</v>
      </c>
      <c r="AC39" s="41">
        <v>10</v>
      </c>
    </row>
    <row r="40" spans="1:29" ht="10" x14ac:dyDescent="0.25">
      <c r="A40" s="40" t="s">
        <v>1485</v>
      </c>
      <c r="B40" s="40" t="s">
        <v>1426</v>
      </c>
      <c r="C40" s="40" t="s">
        <v>162</v>
      </c>
      <c r="D40" s="40" t="s">
        <v>1427</v>
      </c>
      <c r="E40" s="40" t="s">
        <v>1428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1429</v>
      </c>
      <c r="K40" s="41">
        <v>182700</v>
      </c>
      <c r="L40" s="40" t="s">
        <v>1430</v>
      </c>
      <c r="M40" s="40" t="s">
        <v>1431</v>
      </c>
      <c r="N40" s="40" t="s">
        <v>1432</v>
      </c>
      <c r="O40" s="40" t="s">
        <v>1433</v>
      </c>
      <c r="P40" s="40" t="s">
        <v>1434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1435</v>
      </c>
      <c r="V40" s="41">
        <v>0</v>
      </c>
      <c r="W40" s="41">
        <v>164430</v>
      </c>
      <c r="X40" s="40" t="s">
        <v>1436</v>
      </c>
      <c r="Y40" s="41">
        <v>0</v>
      </c>
      <c r="Z40" s="40" t="s">
        <v>1437</v>
      </c>
      <c r="AA40" s="40" t="s">
        <v>1443</v>
      </c>
      <c r="AB40" s="41">
        <v>18270</v>
      </c>
      <c r="AC40" s="41">
        <v>10</v>
      </c>
    </row>
    <row r="41" spans="1:29" ht="10" x14ac:dyDescent="0.25">
      <c r="A41" s="40" t="s">
        <v>1486</v>
      </c>
      <c r="B41" s="40" t="s">
        <v>1426</v>
      </c>
      <c r="C41" s="40" t="s">
        <v>162</v>
      </c>
      <c r="D41" s="40" t="s">
        <v>1427</v>
      </c>
      <c r="E41" s="40" t="s">
        <v>1428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1429</v>
      </c>
      <c r="K41" s="41">
        <v>17400</v>
      </c>
      <c r="L41" s="40" t="s">
        <v>1430</v>
      </c>
      <c r="M41" s="40" t="s">
        <v>1431</v>
      </c>
      <c r="N41" s="40" t="s">
        <v>1432</v>
      </c>
      <c r="O41" s="40" t="s">
        <v>1433</v>
      </c>
      <c r="P41" s="40" t="s">
        <v>1434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1435</v>
      </c>
      <c r="V41" s="41">
        <v>0</v>
      </c>
      <c r="W41" s="41">
        <v>15660</v>
      </c>
      <c r="X41" s="40" t="s">
        <v>1436</v>
      </c>
      <c r="Y41" s="41">
        <v>0</v>
      </c>
      <c r="Z41" s="40" t="s">
        <v>1437</v>
      </c>
      <c r="AA41" s="40" t="s">
        <v>1440</v>
      </c>
      <c r="AB41" s="41">
        <v>1740</v>
      </c>
      <c r="AC41" s="41">
        <v>10</v>
      </c>
    </row>
    <row r="42" spans="1:29" ht="10" x14ac:dyDescent="0.25">
      <c r="A42" s="40" t="s">
        <v>1487</v>
      </c>
      <c r="B42" s="40" t="s">
        <v>1426</v>
      </c>
      <c r="C42" s="40" t="s">
        <v>162</v>
      </c>
      <c r="D42" s="40" t="s">
        <v>1427</v>
      </c>
      <c r="E42" s="40" t="s">
        <v>1428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1429</v>
      </c>
      <c r="K42" s="41">
        <v>8700</v>
      </c>
      <c r="L42" s="40" t="s">
        <v>1430</v>
      </c>
      <c r="M42" s="40" t="s">
        <v>1431</v>
      </c>
      <c r="N42" s="40" t="s">
        <v>1432</v>
      </c>
      <c r="O42" s="40" t="s">
        <v>1433</v>
      </c>
      <c r="P42" s="40" t="s">
        <v>1434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1435</v>
      </c>
      <c r="V42" s="41">
        <v>0</v>
      </c>
      <c r="W42" s="41">
        <v>7830</v>
      </c>
      <c r="X42" s="40" t="s">
        <v>1436</v>
      </c>
      <c r="Y42" s="41">
        <v>0</v>
      </c>
      <c r="Z42" s="40" t="s">
        <v>1437</v>
      </c>
      <c r="AA42" s="40" t="s">
        <v>1438</v>
      </c>
      <c r="AB42" s="41">
        <v>870</v>
      </c>
      <c r="AC42" s="41">
        <v>10</v>
      </c>
    </row>
    <row r="43" spans="1:29" ht="10" x14ac:dyDescent="0.25">
      <c r="A43" s="40" t="s">
        <v>1488</v>
      </c>
      <c r="B43" s="40" t="s">
        <v>1426</v>
      </c>
      <c r="C43" s="40" t="s">
        <v>162</v>
      </c>
      <c r="D43" s="40" t="s">
        <v>1427</v>
      </c>
      <c r="E43" s="40" t="s">
        <v>1428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1429</v>
      </c>
      <c r="K43" s="41">
        <v>52200</v>
      </c>
      <c r="L43" s="40" t="s">
        <v>1430</v>
      </c>
      <c r="M43" s="40" t="s">
        <v>1431</v>
      </c>
      <c r="N43" s="40" t="s">
        <v>1432</v>
      </c>
      <c r="O43" s="40" t="s">
        <v>1433</v>
      </c>
      <c r="P43" s="40" t="s">
        <v>1434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1435</v>
      </c>
      <c r="V43" s="41">
        <v>0</v>
      </c>
      <c r="W43" s="41">
        <v>46980</v>
      </c>
      <c r="X43" s="40" t="s">
        <v>1436</v>
      </c>
      <c r="Y43" s="41">
        <v>0</v>
      </c>
      <c r="Z43" s="40" t="s">
        <v>1437</v>
      </c>
      <c r="AA43" s="40" t="s">
        <v>1440</v>
      </c>
      <c r="AB43" s="41">
        <v>5220</v>
      </c>
      <c r="AC43" s="41">
        <v>10</v>
      </c>
    </row>
    <row r="44" spans="1:29" ht="10" x14ac:dyDescent="0.25">
      <c r="A44" s="40" t="s">
        <v>1489</v>
      </c>
      <c r="B44" s="40" t="s">
        <v>1426</v>
      </c>
      <c r="C44" s="40" t="s">
        <v>162</v>
      </c>
      <c r="D44" s="40" t="s">
        <v>1427</v>
      </c>
      <c r="E44" s="40" t="s">
        <v>1428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1429</v>
      </c>
      <c r="K44" s="41">
        <v>8700</v>
      </c>
      <c r="L44" s="40" t="s">
        <v>1430</v>
      </c>
      <c r="M44" s="40" t="s">
        <v>1431</v>
      </c>
      <c r="N44" s="40" t="s">
        <v>1432</v>
      </c>
      <c r="O44" s="40" t="s">
        <v>1433</v>
      </c>
      <c r="P44" s="40" t="s">
        <v>1434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1435</v>
      </c>
      <c r="V44" s="41">
        <v>0</v>
      </c>
      <c r="W44" s="41">
        <v>7830</v>
      </c>
      <c r="X44" s="40" t="s">
        <v>1436</v>
      </c>
      <c r="Y44" s="41">
        <v>0</v>
      </c>
      <c r="Z44" s="40" t="s">
        <v>1437</v>
      </c>
      <c r="AA44" s="40" t="s">
        <v>1440</v>
      </c>
      <c r="AB44" s="41">
        <v>870</v>
      </c>
      <c r="AC44" s="41">
        <v>10</v>
      </c>
    </row>
    <row r="45" spans="1:29" ht="10" x14ac:dyDescent="0.25">
      <c r="A45" s="40" t="s">
        <v>1490</v>
      </c>
      <c r="B45" s="40" t="s">
        <v>1426</v>
      </c>
      <c r="C45" s="40" t="s">
        <v>162</v>
      </c>
      <c r="D45" s="40" t="s">
        <v>1427</v>
      </c>
      <c r="E45" s="40" t="s">
        <v>1428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1429</v>
      </c>
      <c r="K45" s="41">
        <v>8700</v>
      </c>
      <c r="L45" s="40" t="s">
        <v>1430</v>
      </c>
      <c r="M45" s="40" t="s">
        <v>1431</v>
      </c>
      <c r="N45" s="40" t="s">
        <v>1432</v>
      </c>
      <c r="O45" s="40" t="s">
        <v>1433</v>
      </c>
      <c r="P45" s="40" t="s">
        <v>1434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1435</v>
      </c>
      <c r="V45" s="41">
        <v>0</v>
      </c>
      <c r="W45" s="41">
        <v>7830</v>
      </c>
      <c r="X45" s="40" t="s">
        <v>1436</v>
      </c>
      <c r="Y45" s="41">
        <v>0</v>
      </c>
      <c r="Z45" s="40" t="s">
        <v>1437</v>
      </c>
      <c r="AA45" s="40" t="s">
        <v>1443</v>
      </c>
      <c r="AB45" s="41">
        <v>870</v>
      </c>
      <c r="AC45" s="41">
        <v>10</v>
      </c>
    </row>
    <row r="46" spans="1:29" ht="10" x14ac:dyDescent="0.25">
      <c r="A46" s="40" t="s">
        <v>1491</v>
      </c>
      <c r="B46" s="40" t="s">
        <v>1426</v>
      </c>
      <c r="C46" s="40" t="s">
        <v>162</v>
      </c>
      <c r="D46" s="40" t="s">
        <v>1427</v>
      </c>
      <c r="E46" s="40" t="s">
        <v>1428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1429</v>
      </c>
      <c r="K46" s="41">
        <v>43500</v>
      </c>
      <c r="L46" s="40" t="s">
        <v>1430</v>
      </c>
      <c r="M46" s="40" t="s">
        <v>1431</v>
      </c>
      <c r="N46" s="40" t="s">
        <v>1432</v>
      </c>
      <c r="O46" s="40" t="s">
        <v>1433</v>
      </c>
      <c r="P46" s="40" t="s">
        <v>1434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1435</v>
      </c>
      <c r="V46" s="41">
        <v>0</v>
      </c>
      <c r="W46" s="41">
        <v>39150</v>
      </c>
      <c r="X46" s="40" t="s">
        <v>1436</v>
      </c>
      <c r="Y46" s="41">
        <v>0</v>
      </c>
      <c r="Z46" s="40" t="s">
        <v>1437</v>
      </c>
      <c r="AA46" s="40" t="s">
        <v>1440</v>
      </c>
      <c r="AB46" s="41">
        <v>4350</v>
      </c>
      <c r="AC46" s="41">
        <v>10</v>
      </c>
    </row>
    <row r="47" spans="1:29" ht="10" x14ac:dyDescent="0.25">
      <c r="A47" s="40" t="s">
        <v>1492</v>
      </c>
      <c r="B47" s="40" t="s">
        <v>1426</v>
      </c>
      <c r="C47" s="40" t="s">
        <v>162</v>
      </c>
      <c r="D47" s="40" t="s">
        <v>1427</v>
      </c>
      <c r="E47" s="40" t="s">
        <v>1428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1429</v>
      </c>
      <c r="K47" s="41">
        <v>26100</v>
      </c>
      <c r="L47" s="40" t="s">
        <v>1430</v>
      </c>
      <c r="M47" s="40" t="s">
        <v>1431</v>
      </c>
      <c r="N47" s="40" t="s">
        <v>1432</v>
      </c>
      <c r="O47" s="40" t="s">
        <v>1433</v>
      </c>
      <c r="P47" s="40" t="s">
        <v>1434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1435</v>
      </c>
      <c r="V47" s="41">
        <v>0</v>
      </c>
      <c r="W47" s="41">
        <v>23490</v>
      </c>
      <c r="X47" s="40" t="s">
        <v>1436</v>
      </c>
      <c r="Y47" s="41">
        <v>0</v>
      </c>
      <c r="Z47" s="40" t="s">
        <v>1437</v>
      </c>
      <c r="AA47" s="40" t="s">
        <v>1443</v>
      </c>
      <c r="AB47" s="41">
        <v>2610</v>
      </c>
      <c r="AC47" s="41">
        <v>10</v>
      </c>
    </row>
    <row r="48" spans="1:29" ht="10" x14ac:dyDescent="0.25">
      <c r="A48" s="40" t="s">
        <v>1493</v>
      </c>
      <c r="B48" s="40" t="s">
        <v>1426</v>
      </c>
      <c r="C48" s="40" t="s">
        <v>162</v>
      </c>
      <c r="D48" s="40" t="s">
        <v>1427</v>
      </c>
      <c r="E48" s="40" t="s">
        <v>1428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1429</v>
      </c>
      <c r="K48" s="41">
        <v>8700</v>
      </c>
      <c r="L48" s="40" t="s">
        <v>1430</v>
      </c>
      <c r="M48" s="40" t="s">
        <v>1431</v>
      </c>
      <c r="N48" s="40" t="s">
        <v>1432</v>
      </c>
      <c r="O48" s="40" t="s">
        <v>1433</v>
      </c>
      <c r="P48" s="40" t="s">
        <v>1434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1435</v>
      </c>
      <c r="V48" s="41">
        <v>0</v>
      </c>
      <c r="W48" s="41">
        <v>7830</v>
      </c>
      <c r="X48" s="40" t="s">
        <v>1436</v>
      </c>
      <c r="Y48" s="41">
        <v>0</v>
      </c>
      <c r="Z48" s="40" t="s">
        <v>1437</v>
      </c>
      <c r="AA48" s="40" t="s">
        <v>1443</v>
      </c>
      <c r="AB48" s="41">
        <v>870</v>
      </c>
      <c r="AC48" s="41">
        <v>10</v>
      </c>
    </row>
    <row r="49" spans="1:29" ht="10" x14ac:dyDescent="0.25">
      <c r="A49" s="40" t="s">
        <v>1494</v>
      </c>
      <c r="B49" s="40" t="s">
        <v>1426</v>
      </c>
      <c r="C49" s="40" t="s">
        <v>162</v>
      </c>
      <c r="D49" s="40" t="s">
        <v>1427</v>
      </c>
      <c r="E49" s="40" t="s">
        <v>1428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1429</v>
      </c>
      <c r="K49" s="41">
        <v>8700</v>
      </c>
      <c r="L49" s="40" t="s">
        <v>1430</v>
      </c>
      <c r="M49" s="40" t="s">
        <v>1431</v>
      </c>
      <c r="N49" s="40" t="s">
        <v>1432</v>
      </c>
      <c r="O49" s="40" t="s">
        <v>1433</v>
      </c>
      <c r="P49" s="40" t="s">
        <v>1434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1435</v>
      </c>
      <c r="V49" s="41">
        <v>0</v>
      </c>
      <c r="W49" s="41">
        <v>7830</v>
      </c>
      <c r="X49" s="40" t="s">
        <v>1436</v>
      </c>
      <c r="Y49" s="41">
        <v>0</v>
      </c>
      <c r="Z49" s="40" t="s">
        <v>1437</v>
      </c>
      <c r="AA49" s="40" t="s">
        <v>1443</v>
      </c>
      <c r="AB49" s="41">
        <v>870</v>
      </c>
      <c r="AC49" s="41">
        <v>10</v>
      </c>
    </row>
    <row r="50" spans="1:29" ht="10" x14ac:dyDescent="0.25">
      <c r="A50" s="40" t="s">
        <v>1495</v>
      </c>
      <c r="B50" s="40" t="s">
        <v>1426</v>
      </c>
      <c r="C50" s="40" t="s">
        <v>162</v>
      </c>
      <c r="D50" s="40" t="s">
        <v>1427</v>
      </c>
      <c r="E50" s="40" t="s">
        <v>1428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1429</v>
      </c>
      <c r="K50" s="41">
        <v>8700</v>
      </c>
      <c r="L50" s="40" t="s">
        <v>1430</v>
      </c>
      <c r="M50" s="40" t="s">
        <v>1431</v>
      </c>
      <c r="N50" s="40" t="s">
        <v>1496</v>
      </c>
      <c r="O50" s="40" t="s">
        <v>1433</v>
      </c>
      <c r="P50" s="40" t="s">
        <v>1434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1435</v>
      </c>
      <c r="V50" s="41">
        <v>0</v>
      </c>
      <c r="W50" s="41">
        <v>7830</v>
      </c>
      <c r="X50" s="40" t="s">
        <v>1436</v>
      </c>
      <c r="Y50" s="41">
        <v>0</v>
      </c>
      <c r="Z50" s="40" t="s">
        <v>1437</v>
      </c>
      <c r="AA50" s="40" t="s">
        <v>1438</v>
      </c>
      <c r="AB50" s="41">
        <v>870</v>
      </c>
      <c r="AC50" s="41">
        <v>10</v>
      </c>
    </row>
    <row r="51" spans="1:29" ht="10" x14ac:dyDescent="0.25">
      <c r="A51" s="40" t="s">
        <v>1497</v>
      </c>
      <c r="B51" s="40" t="s">
        <v>1426</v>
      </c>
      <c r="C51" s="40" t="s">
        <v>161</v>
      </c>
      <c r="D51" s="40" t="s">
        <v>1427</v>
      </c>
      <c r="E51" s="40" t="s">
        <v>1428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1429</v>
      </c>
      <c r="K51" s="41">
        <v>400000</v>
      </c>
      <c r="L51" s="40" t="s">
        <v>1498</v>
      </c>
      <c r="M51" s="40" t="s">
        <v>1431</v>
      </c>
      <c r="N51" s="40" t="s">
        <v>1499</v>
      </c>
      <c r="O51" s="40" t="s">
        <v>1435</v>
      </c>
      <c r="P51" s="40" t="s">
        <v>1434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1435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1437</v>
      </c>
      <c r="AA51" s="40" t="s">
        <v>1499</v>
      </c>
      <c r="AB51" s="41">
        <v>0</v>
      </c>
      <c r="AC51" s="41">
        <v>0</v>
      </c>
    </row>
    <row r="52" spans="1:29" ht="10" x14ac:dyDescent="0.25">
      <c r="A52" s="40" t="s">
        <v>1500</v>
      </c>
      <c r="B52" s="40" t="s">
        <v>1426</v>
      </c>
      <c r="C52" s="40" t="s">
        <v>160</v>
      </c>
      <c r="D52" s="40" t="s">
        <v>1427</v>
      </c>
      <c r="E52" s="40" t="s">
        <v>1428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1429</v>
      </c>
      <c r="K52" s="41">
        <v>600000</v>
      </c>
      <c r="L52" s="40" t="s">
        <v>1501</v>
      </c>
      <c r="M52" s="40" t="s">
        <v>1502</v>
      </c>
      <c r="N52" s="40" t="s">
        <v>1503</v>
      </c>
      <c r="O52" s="40" t="s">
        <v>1433</v>
      </c>
      <c r="P52" s="40" t="s">
        <v>1434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1435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1437</v>
      </c>
      <c r="AA52" s="40" t="s">
        <v>1504</v>
      </c>
      <c r="AB52" s="41">
        <v>0</v>
      </c>
      <c r="AC52" s="41">
        <v>0</v>
      </c>
    </row>
    <row r="53" spans="1:29" ht="10" x14ac:dyDescent="0.25">
      <c r="A53" s="40" t="s">
        <v>1505</v>
      </c>
      <c r="B53" s="40" t="s">
        <v>1426</v>
      </c>
      <c r="C53" s="40" t="s">
        <v>160</v>
      </c>
      <c r="D53" s="40" t="s">
        <v>1427</v>
      </c>
      <c r="E53" s="40" t="s">
        <v>1428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1429</v>
      </c>
      <c r="K53" s="41">
        <v>400000</v>
      </c>
      <c r="L53" s="40" t="s">
        <v>1501</v>
      </c>
      <c r="M53" s="40" t="s">
        <v>1502</v>
      </c>
      <c r="N53" s="40" t="s">
        <v>1503</v>
      </c>
      <c r="O53" s="40" t="s">
        <v>1433</v>
      </c>
      <c r="P53" s="40" t="s">
        <v>1434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1435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1437</v>
      </c>
      <c r="AA53" s="40" t="s">
        <v>1504</v>
      </c>
      <c r="AB53" s="41">
        <v>200000</v>
      </c>
      <c r="AC53" s="41">
        <v>50</v>
      </c>
    </row>
    <row r="54" spans="1:29" ht="10" x14ac:dyDescent="0.25">
      <c r="A54" s="40" t="s">
        <v>1506</v>
      </c>
      <c r="B54" s="40" t="s">
        <v>1426</v>
      </c>
      <c r="C54" s="40" t="s">
        <v>160</v>
      </c>
      <c r="D54" s="40" t="s">
        <v>1427</v>
      </c>
      <c r="E54" s="40" t="s">
        <v>1428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1429</v>
      </c>
      <c r="K54" s="41">
        <v>802500</v>
      </c>
      <c r="L54" s="40" t="s">
        <v>1501</v>
      </c>
      <c r="M54" s="40" t="s">
        <v>1502</v>
      </c>
      <c r="N54" s="40" t="s">
        <v>1503</v>
      </c>
      <c r="O54" s="40" t="s">
        <v>1433</v>
      </c>
      <c r="P54" s="40" t="s">
        <v>1434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1435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1437</v>
      </c>
      <c r="AA54" s="40" t="s">
        <v>1504</v>
      </c>
      <c r="AB54" s="41">
        <v>97500</v>
      </c>
      <c r="AC54" s="41">
        <v>12.15</v>
      </c>
    </row>
    <row r="55" spans="1:29" ht="10" x14ac:dyDescent="0.25">
      <c r="A55" s="40" t="s">
        <v>1507</v>
      </c>
      <c r="B55" s="40" t="s">
        <v>1426</v>
      </c>
      <c r="C55" s="40" t="s">
        <v>162</v>
      </c>
      <c r="D55" s="40" t="s">
        <v>1427</v>
      </c>
      <c r="E55" s="40" t="s">
        <v>1428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1429</v>
      </c>
      <c r="K55" s="41">
        <v>131500</v>
      </c>
      <c r="L55" s="40" t="s">
        <v>1430</v>
      </c>
      <c r="M55" s="40" t="s">
        <v>1431</v>
      </c>
      <c r="N55" s="40" t="s">
        <v>1468</v>
      </c>
      <c r="O55" s="40" t="s">
        <v>1433</v>
      </c>
      <c r="P55" s="40" t="s">
        <v>1434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1435</v>
      </c>
      <c r="V55" s="41">
        <v>0</v>
      </c>
      <c r="W55" s="41">
        <v>118350</v>
      </c>
      <c r="X55" s="40" t="s">
        <v>1436</v>
      </c>
      <c r="Y55" s="41">
        <v>0</v>
      </c>
      <c r="Z55" s="40" t="s">
        <v>1437</v>
      </c>
      <c r="AA55" s="40" t="s">
        <v>1468</v>
      </c>
      <c r="AB55" s="41">
        <v>13150</v>
      </c>
      <c r="AC55" s="41">
        <v>10</v>
      </c>
    </row>
    <row r="56" spans="1:29" ht="10" x14ac:dyDescent="0.25">
      <c r="A56" s="40" t="s">
        <v>1508</v>
      </c>
      <c r="B56" s="40" t="s">
        <v>1426</v>
      </c>
      <c r="C56" s="40" t="s">
        <v>161</v>
      </c>
      <c r="D56" s="40" t="s">
        <v>1427</v>
      </c>
      <c r="E56" s="40" t="s">
        <v>1428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1429</v>
      </c>
      <c r="K56" s="41">
        <v>150000</v>
      </c>
      <c r="L56" s="40" t="s">
        <v>1509</v>
      </c>
      <c r="M56" s="40" t="s">
        <v>1510</v>
      </c>
      <c r="N56" s="40" t="s">
        <v>1511</v>
      </c>
      <c r="O56" s="40" t="s">
        <v>1433</v>
      </c>
      <c r="P56" s="40" t="s">
        <v>1434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1435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1437</v>
      </c>
      <c r="AA56" s="40" t="s">
        <v>1512</v>
      </c>
      <c r="AB56" s="41">
        <v>0</v>
      </c>
      <c r="AC56" s="41">
        <v>0</v>
      </c>
    </row>
    <row r="57" spans="1:29" ht="10" x14ac:dyDescent="0.25">
      <c r="A57" s="40" t="s">
        <v>1513</v>
      </c>
      <c r="B57" s="40" t="s">
        <v>1426</v>
      </c>
      <c r="C57" s="40" t="s">
        <v>161</v>
      </c>
      <c r="D57" s="40" t="s">
        <v>1427</v>
      </c>
      <c r="E57" s="40" t="s">
        <v>1428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1429</v>
      </c>
      <c r="K57" s="41">
        <v>200000</v>
      </c>
      <c r="L57" s="40" t="s">
        <v>1514</v>
      </c>
      <c r="M57" s="40" t="s">
        <v>1515</v>
      </c>
      <c r="N57" s="40" t="s">
        <v>1516</v>
      </c>
      <c r="O57" s="40" t="s">
        <v>1433</v>
      </c>
      <c r="P57" s="40" t="s">
        <v>1434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1435</v>
      </c>
      <c r="V57" s="41">
        <v>0</v>
      </c>
      <c r="W57" s="41">
        <v>200000</v>
      </c>
      <c r="X57" s="40" t="s">
        <v>1436</v>
      </c>
      <c r="Y57" s="41">
        <v>0</v>
      </c>
      <c r="Z57" s="40" t="s">
        <v>1437</v>
      </c>
      <c r="AA57" s="40" t="s">
        <v>1516</v>
      </c>
      <c r="AB57" s="41">
        <v>0</v>
      </c>
      <c r="AC57" s="41">
        <v>0</v>
      </c>
    </row>
    <row r="58" spans="1:29" ht="10" x14ac:dyDescent="0.25">
      <c r="A58" s="40" t="s">
        <v>1517</v>
      </c>
      <c r="B58" s="40" t="s">
        <v>1426</v>
      </c>
      <c r="C58" s="40" t="s">
        <v>161</v>
      </c>
      <c r="D58" s="40" t="s">
        <v>1427</v>
      </c>
      <c r="E58" s="40" t="s">
        <v>1428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1429</v>
      </c>
      <c r="K58" s="41">
        <v>210000</v>
      </c>
      <c r="L58" s="40" t="s">
        <v>1518</v>
      </c>
      <c r="M58" s="40" t="s">
        <v>1519</v>
      </c>
      <c r="N58" s="40" t="s">
        <v>1520</v>
      </c>
      <c r="O58" s="40" t="s">
        <v>1433</v>
      </c>
      <c r="P58" s="40" t="s">
        <v>1434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1435</v>
      </c>
      <c r="V58" s="41">
        <v>0</v>
      </c>
      <c r="W58" s="41">
        <v>140000</v>
      </c>
      <c r="X58" s="40" t="s">
        <v>1436</v>
      </c>
      <c r="Y58" s="41">
        <v>0</v>
      </c>
      <c r="Z58" s="40" t="s">
        <v>1437</v>
      </c>
      <c r="AA58" s="40" t="s">
        <v>1520</v>
      </c>
      <c r="AB58" s="41">
        <v>70000</v>
      </c>
      <c r="AC58" s="41">
        <v>33.33</v>
      </c>
    </row>
    <row r="59" spans="1:29" ht="10" x14ac:dyDescent="0.25">
      <c r="A59" s="40" t="s">
        <v>1521</v>
      </c>
      <c r="B59" s="40" t="s">
        <v>1426</v>
      </c>
      <c r="C59" s="40" t="s">
        <v>161</v>
      </c>
      <c r="D59" s="40" t="s">
        <v>1427</v>
      </c>
      <c r="E59" s="40" t="s">
        <v>1428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1429</v>
      </c>
      <c r="K59" s="41">
        <v>300000</v>
      </c>
      <c r="L59" s="40" t="s">
        <v>1430</v>
      </c>
      <c r="M59" s="40" t="s">
        <v>1431</v>
      </c>
      <c r="N59" s="40" t="s">
        <v>1522</v>
      </c>
      <c r="O59" s="40" t="s">
        <v>1433</v>
      </c>
      <c r="P59" s="40" t="s">
        <v>1434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1435</v>
      </c>
      <c r="V59" s="41">
        <v>0</v>
      </c>
      <c r="W59" s="41">
        <v>270000</v>
      </c>
      <c r="X59" s="40" t="s">
        <v>1436</v>
      </c>
      <c r="Y59" s="41">
        <v>0</v>
      </c>
      <c r="Z59" s="40" t="s">
        <v>1437</v>
      </c>
      <c r="AA59" s="40" t="s">
        <v>1523</v>
      </c>
      <c r="AB59" s="41">
        <v>30000</v>
      </c>
      <c r="AC59" s="41">
        <v>10</v>
      </c>
    </row>
    <row r="60" spans="1:29" ht="10" x14ac:dyDescent="0.25">
      <c r="A60" s="40" t="s">
        <v>1524</v>
      </c>
      <c r="B60" s="40" t="s">
        <v>1426</v>
      </c>
      <c r="C60" s="40" t="s">
        <v>155</v>
      </c>
      <c r="D60" s="40" t="s">
        <v>1427</v>
      </c>
      <c r="E60" s="40" t="s">
        <v>1428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1429</v>
      </c>
      <c r="K60" s="41">
        <v>500000</v>
      </c>
      <c r="L60" s="40" t="s">
        <v>1519</v>
      </c>
      <c r="M60" s="40" t="s">
        <v>1519</v>
      </c>
      <c r="N60" s="40" t="s">
        <v>1525</v>
      </c>
      <c r="O60" s="40" t="s">
        <v>1433</v>
      </c>
      <c r="P60" s="40" t="s">
        <v>1434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1435</v>
      </c>
      <c r="V60" s="41">
        <v>0</v>
      </c>
      <c r="W60" s="41">
        <v>450000</v>
      </c>
      <c r="X60" s="40" t="s">
        <v>1436</v>
      </c>
      <c r="Y60" s="41">
        <v>0</v>
      </c>
      <c r="Z60" s="40" t="s">
        <v>1437</v>
      </c>
      <c r="AA60" s="40" t="s">
        <v>1526</v>
      </c>
      <c r="AB60" s="41">
        <v>50000</v>
      </c>
      <c r="AC60" s="41">
        <v>10</v>
      </c>
    </row>
    <row r="61" spans="1:29" ht="10" x14ac:dyDescent="0.25">
      <c r="A61" s="40" t="s">
        <v>1527</v>
      </c>
      <c r="B61" s="40" t="s">
        <v>1426</v>
      </c>
      <c r="C61" s="40" t="s">
        <v>155</v>
      </c>
      <c r="D61" s="40" t="s">
        <v>1427</v>
      </c>
      <c r="E61" s="40" t="s">
        <v>1428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1429</v>
      </c>
      <c r="K61" s="41">
        <v>500000</v>
      </c>
      <c r="L61" s="40" t="s">
        <v>1528</v>
      </c>
      <c r="M61" s="40" t="s">
        <v>1431</v>
      </c>
      <c r="N61" s="40" t="s">
        <v>1529</v>
      </c>
      <c r="O61" s="40" t="s">
        <v>1433</v>
      </c>
      <c r="P61" s="40" t="s">
        <v>1434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1435</v>
      </c>
      <c r="V61" s="41">
        <v>0</v>
      </c>
      <c r="W61" s="41">
        <v>450000</v>
      </c>
      <c r="X61" s="40" t="s">
        <v>1436</v>
      </c>
      <c r="Y61" s="41">
        <v>0</v>
      </c>
      <c r="Z61" s="40" t="s">
        <v>1437</v>
      </c>
      <c r="AA61" s="40" t="s">
        <v>1529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4" x14ac:dyDescent="0.25"/>
  <cols>
    <col min="1" max="1" width="32.36328125" customWidth="1"/>
    <col min="2" max="2" width="13.453125" customWidth="1"/>
    <col min="3" max="3" width="12.453125" customWidth="1"/>
    <col min="4" max="4" width="13.453125" customWidth="1"/>
    <col min="5" max="5" width="7.90625" customWidth="1"/>
    <col min="6" max="6" width="12.453125" customWidth="1"/>
    <col min="7" max="7" width="10.36328125"/>
  </cols>
  <sheetData>
    <row r="1" spans="1:6" x14ac:dyDescent="0.25">
      <c r="A1" s="29" t="s">
        <v>1389</v>
      </c>
      <c r="B1" s="29" t="s">
        <v>1530</v>
      </c>
      <c r="C1" s="29" t="s">
        <v>1306</v>
      </c>
      <c r="D1" s="29" t="s">
        <v>1531</v>
      </c>
      <c r="E1" s="29" t="s">
        <v>1532</v>
      </c>
      <c r="F1" s="29" t="s">
        <v>1533</v>
      </c>
    </row>
    <row r="2" spans="1:6" x14ac:dyDescent="0.35">
      <c r="A2" s="4" t="s">
        <v>1534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x14ac:dyDescent="0.35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x14ac:dyDescent="0.35">
      <c r="A4" s="4" t="s">
        <v>1535</v>
      </c>
      <c r="B4" s="30">
        <v>19065.54</v>
      </c>
      <c r="C4" s="30"/>
      <c r="D4" s="30"/>
      <c r="E4" s="32">
        <v>0.09</v>
      </c>
      <c r="F4" s="30">
        <v>1715.9</v>
      </c>
    </row>
    <row r="5" spans="1:6" x14ac:dyDescent="0.35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x14ac:dyDescent="0.35">
      <c r="A6" s="4" t="s">
        <v>1536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x14ac:dyDescent="0.35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x14ac:dyDescent="0.35">
      <c r="A8" s="4" t="s">
        <v>1537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x14ac:dyDescent="0.35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x14ac:dyDescent="0.35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x14ac:dyDescent="0.35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x14ac:dyDescent="0.35">
      <c r="A12" s="4" t="s">
        <v>539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x14ac:dyDescent="0.35">
      <c r="A13" s="4" t="s">
        <v>1538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x14ac:dyDescent="0.35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x14ac:dyDescent="0.35">
      <c r="A15" s="4" t="s">
        <v>1539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x14ac:dyDescent="0.35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x14ac:dyDescent="0.35">
      <c r="A17" s="36" t="s">
        <v>1540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265625" defaultRowHeight="13" x14ac:dyDescent="0.25"/>
  <cols>
    <col min="1" max="1" width="11.08984375" style="1" customWidth="1"/>
    <col min="2" max="2" width="12.08984375" style="1" customWidth="1"/>
    <col min="3" max="3" width="14.6328125" style="1" customWidth="1"/>
    <col min="4" max="4" width="13.453125" style="1" customWidth="1"/>
    <col min="5" max="5" width="18.26953125" style="1" customWidth="1"/>
    <col min="6" max="7" width="13" style="1" customWidth="1"/>
    <col min="8" max="8" width="13.453125" style="1" customWidth="1"/>
    <col min="9" max="9" width="9.453125" style="1" customWidth="1"/>
    <col min="10" max="10" width="11.08984375" style="1" customWidth="1"/>
    <col min="11" max="11" width="13.453125" style="1" customWidth="1"/>
    <col min="12" max="12" width="4.90625" style="1" customWidth="1"/>
    <col min="13" max="13" width="13.453125" style="1" customWidth="1"/>
    <col min="14" max="16384" width="8.7265625" style="1"/>
  </cols>
  <sheetData>
    <row r="1" spans="1:13" x14ac:dyDescent="0.25">
      <c r="A1" s="10" t="s">
        <v>1541</v>
      </c>
    </row>
    <row r="2" spans="1:13" ht="13.5" x14ac:dyDescent="0.25">
      <c r="A2" s="237" t="s">
        <v>1542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</row>
    <row r="3" spans="1:13" x14ac:dyDescent="0.25">
      <c r="A3" s="238" t="s">
        <v>1543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</row>
    <row r="4" spans="1:13" x14ac:dyDescent="0.35">
      <c r="A4" s="11" t="s">
        <v>5</v>
      </c>
      <c r="B4" s="239" t="s">
        <v>1544</v>
      </c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1"/>
    </row>
    <row r="5" spans="1:13" x14ac:dyDescent="0.25">
      <c r="A5" s="12" t="s">
        <v>1545</v>
      </c>
      <c r="B5" s="12" t="s">
        <v>1546</v>
      </c>
      <c r="C5" s="12" t="s">
        <v>1547</v>
      </c>
      <c r="D5" s="12" t="s">
        <v>1548</v>
      </c>
      <c r="E5" s="12" t="s">
        <v>1549</v>
      </c>
      <c r="F5" s="12" t="s">
        <v>1550</v>
      </c>
      <c r="G5" s="12" t="s">
        <v>1551</v>
      </c>
      <c r="H5" s="12" t="s">
        <v>1552</v>
      </c>
      <c r="I5" s="12" t="s">
        <v>1553</v>
      </c>
      <c r="J5" s="12" t="s">
        <v>1554</v>
      </c>
      <c r="K5" s="12" t="s">
        <v>1555</v>
      </c>
      <c r="L5" s="12" t="s">
        <v>1556</v>
      </c>
      <c r="M5" s="12" t="s">
        <v>1557</v>
      </c>
    </row>
    <row r="6" spans="1:13" x14ac:dyDescent="0.35">
      <c r="A6" s="13" t="s">
        <v>1558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43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43">
        <f>K6+K7+K8-L6-H6</f>
        <v>7417910.5802837536</v>
      </c>
    </row>
    <row r="7" spans="1:13" x14ac:dyDescent="0.35">
      <c r="A7" s="13" t="s">
        <v>1559</v>
      </c>
      <c r="B7" s="249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4"/>
      <c r="I7" s="251">
        <f>(E7+E8)/B7</f>
        <v>1.1121562155460991</v>
      </c>
      <c r="J7" s="27">
        <v>0.1</v>
      </c>
      <c r="K7" s="15">
        <f>E7*J7+F7+G7</f>
        <v>43954760.801643752</v>
      </c>
      <c r="L7" s="15"/>
      <c r="M7" s="244">
        <f t="shared" ref="M7:M8" si="0">K7-H7</f>
        <v>43954760.801643752</v>
      </c>
    </row>
    <row r="8" spans="1:13" x14ac:dyDescent="0.35">
      <c r="A8" s="13" t="s">
        <v>1560</v>
      </c>
      <c r="B8" s="250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5"/>
      <c r="I8" s="252"/>
      <c r="J8" s="27">
        <v>0.1</v>
      </c>
      <c r="K8" s="15">
        <f>E8*J8+F8+G8</f>
        <v>348630.36499999999</v>
      </c>
      <c r="L8" s="15"/>
      <c r="M8" s="245">
        <f t="shared" si="0"/>
        <v>348630.36499999999</v>
      </c>
    </row>
    <row r="9" spans="1:13" x14ac:dyDescent="0.35">
      <c r="A9" s="13" t="s">
        <v>1561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25">
      <c r="A11" s="10" t="s">
        <v>1562</v>
      </c>
      <c r="E11" s="10" t="s">
        <v>1563</v>
      </c>
    </row>
    <row r="12" spans="1:13" x14ac:dyDescent="0.35">
      <c r="A12" s="17" t="s">
        <v>1564</v>
      </c>
      <c r="B12" s="242">
        <v>3926515.07</v>
      </c>
      <c r="C12" s="242"/>
      <c r="E12" s="18"/>
      <c r="F12" s="18"/>
      <c r="G12" s="18"/>
      <c r="H12" s="18"/>
      <c r="I12" s="18"/>
      <c r="J12" s="18"/>
    </row>
    <row r="13" spans="1:13" x14ac:dyDescent="0.35">
      <c r="A13" s="19" t="s">
        <v>1565</v>
      </c>
      <c r="B13" s="19" t="s">
        <v>1566</v>
      </c>
      <c r="C13" s="20" t="s">
        <v>1567</v>
      </c>
      <c r="E13" s="18"/>
      <c r="F13" s="21"/>
      <c r="G13" s="21"/>
      <c r="H13" s="22"/>
      <c r="I13" s="21"/>
      <c r="J13" s="18"/>
    </row>
    <row r="14" spans="1:13" x14ac:dyDescent="0.35">
      <c r="A14" s="23" t="s">
        <v>1568</v>
      </c>
      <c r="B14" s="24" t="s">
        <v>1569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5">
      <c r="A15" s="23" t="s">
        <v>1570</v>
      </c>
      <c r="B15" s="24" t="s">
        <v>1022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5">
      <c r="A16" s="23" t="s">
        <v>1571</v>
      </c>
      <c r="B16" s="24" t="s">
        <v>1572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5">
      <c r="A17" s="23" t="s">
        <v>1573</v>
      </c>
      <c r="B17" s="24" t="s">
        <v>925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5">
      <c r="A18" s="23" t="s">
        <v>1574</v>
      </c>
      <c r="B18" s="24" t="s">
        <v>1575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5">
      <c r="A19" s="23" t="s">
        <v>1576</v>
      </c>
      <c r="B19" s="24" t="s">
        <v>1577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5">
      <c r="A20" s="23" t="s">
        <v>1578</v>
      </c>
      <c r="B20" s="24" t="s">
        <v>1579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5">
      <c r="A21" s="24" t="s">
        <v>1580</v>
      </c>
      <c r="B21" s="24" t="s">
        <v>1581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5">
      <c r="A22" s="24" t="s">
        <v>1582</v>
      </c>
      <c r="B22" s="24" t="s">
        <v>1583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5">
      <c r="A23" s="24" t="s">
        <v>1584</v>
      </c>
      <c r="B23" s="24" t="s">
        <v>1585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5">
      <c r="A24" s="24" t="s">
        <v>1586</v>
      </c>
      <c r="B24" s="24" t="s">
        <v>1587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5">
      <c r="A25" s="17" t="s">
        <v>1588</v>
      </c>
      <c r="B25" s="242">
        <v>678128.2</v>
      </c>
      <c r="C25" s="242"/>
      <c r="E25" s="18"/>
      <c r="F25" s="21"/>
      <c r="G25" s="21"/>
      <c r="H25" s="22"/>
      <c r="I25" s="21"/>
      <c r="J25" s="18"/>
    </row>
    <row r="26" spans="1:10" x14ac:dyDescent="0.35">
      <c r="A26" s="253" t="s">
        <v>1589</v>
      </c>
      <c r="B26" s="253"/>
      <c r="C26" s="253"/>
      <c r="E26" s="18"/>
      <c r="F26" s="21"/>
      <c r="G26" s="21"/>
      <c r="H26" s="22"/>
      <c r="I26" s="21"/>
      <c r="J26" s="18"/>
    </row>
    <row r="27" spans="1:10" x14ac:dyDescent="0.35">
      <c r="A27" s="17" t="s">
        <v>1590</v>
      </c>
      <c r="B27" s="242">
        <v>4385.3770000000004</v>
      </c>
      <c r="C27" s="242"/>
      <c r="E27" s="18"/>
      <c r="F27" s="21"/>
      <c r="G27" s="21"/>
      <c r="H27" s="22"/>
      <c r="I27" s="21"/>
      <c r="J27" s="18"/>
    </row>
    <row r="28" spans="1:10" x14ac:dyDescent="0.35">
      <c r="A28" s="246" t="s">
        <v>1591</v>
      </c>
      <c r="B28" s="247"/>
      <c r="C28" s="248"/>
      <c r="E28" s="18"/>
      <c r="F28" s="21"/>
      <c r="G28" s="21"/>
      <c r="H28" s="22"/>
      <c r="I28" s="21"/>
      <c r="J28" s="18"/>
    </row>
    <row r="29" spans="1:10" x14ac:dyDescent="0.35">
      <c r="A29" s="17" t="s">
        <v>1550</v>
      </c>
      <c r="B29" s="242">
        <v>97400.31</v>
      </c>
      <c r="C29" s="242"/>
      <c r="E29" s="18"/>
      <c r="F29" s="21"/>
      <c r="G29" s="21"/>
      <c r="H29" s="22"/>
      <c r="I29" s="21"/>
      <c r="J29" s="18"/>
    </row>
    <row r="30" spans="1:10" x14ac:dyDescent="0.35">
      <c r="A30" s="246" t="s">
        <v>1591</v>
      </c>
      <c r="B30" s="247"/>
      <c r="C30" s="248"/>
      <c r="E30" s="18"/>
      <c r="F30" s="21"/>
      <c r="G30" s="21"/>
      <c r="H30" s="22"/>
      <c r="I30" s="21"/>
      <c r="J30" s="18"/>
    </row>
    <row r="31" spans="1:10" x14ac:dyDescent="0.35">
      <c r="A31" s="17" t="s">
        <v>1551</v>
      </c>
      <c r="B31" s="242">
        <v>1083703.95</v>
      </c>
      <c r="C31" s="242"/>
      <c r="E31" s="18"/>
      <c r="F31" s="21"/>
      <c r="G31" s="21"/>
      <c r="H31" s="22"/>
      <c r="I31" s="21"/>
      <c r="J31" s="18"/>
    </row>
    <row r="32" spans="1:10" x14ac:dyDescent="0.35">
      <c r="A32" s="246" t="s">
        <v>1591</v>
      </c>
      <c r="B32" s="247"/>
      <c r="C32" s="248"/>
      <c r="E32" s="18"/>
      <c r="F32" s="21"/>
      <c r="G32" s="21"/>
      <c r="H32" s="22"/>
      <c r="I32" s="21"/>
      <c r="J32" s="18"/>
    </row>
    <row r="33" spans="1:23" x14ac:dyDescent="0.35">
      <c r="E33" s="18"/>
      <c r="F33" s="21"/>
      <c r="G33" s="21"/>
      <c r="H33" s="22"/>
      <c r="I33" s="21"/>
      <c r="J33" s="18"/>
    </row>
    <row r="34" spans="1:23" x14ac:dyDescent="0.35">
      <c r="E34" s="18"/>
      <c r="F34" s="21"/>
      <c r="G34" s="21"/>
      <c r="H34" s="22"/>
      <c r="I34" s="21"/>
      <c r="J34" s="18"/>
    </row>
    <row r="35" spans="1:23" ht="14" x14ac:dyDescent="0.35">
      <c r="A35" s="10" t="s">
        <v>1592</v>
      </c>
      <c r="E35" s="18"/>
      <c r="F35" s="21"/>
      <c r="G35" s="21"/>
      <c r="H35" s="22"/>
      <c r="I35" s="21"/>
      <c r="J35" s="18"/>
      <c r="W35"/>
    </row>
    <row r="36" spans="1:23" x14ac:dyDescent="0.35">
      <c r="E36" s="18"/>
      <c r="F36" s="21"/>
      <c r="G36" s="21"/>
      <c r="H36" s="22"/>
      <c r="I36" s="21"/>
      <c r="J36" s="18"/>
    </row>
    <row r="37" spans="1:23" x14ac:dyDescent="0.35">
      <c r="E37" s="18"/>
      <c r="F37" s="21"/>
      <c r="G37" s="21"/>
      <c r="H37" s="22"/>
      <c r="I37" s="21"/>
      <c r="J37" s="18"/>
    </row>
    <row r="65" spans="1:1" x14ac:dyDescent="0.25">
      <c r="A65" s="10" t="s">
        <v>1593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夏夏</cp:lastModifiedBy>
  <cp:lastPrinted>2018-02-12T11:38:00Z</cp:lastPrinted>
  <dcterms:created xsi:type="dcterms:W3CDTF">2018-02-12T08:11:00Z</dcterms:created>
  <dcterms:modified xsi:type="dcterms:W3CDTF">2020-12-11T01:58:02Z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