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xr:revisionPtr revIDLastSave="0" documentId="13_ncr:1_{6B592E7C-5DCA-47DA-997F-5883832355F2}" xr6:coauthVersionLast="45" xr6:coauthVersionMax="45" xr10:uidLastSave="{00000000-0000-0000-0000-000000000000}"/>
  <bookViews>
    <workbookView xWindow="-19310" yWindow="-1510" windowWidth="19420" windowHeight="10420" tabRatio="936" firstSheet="1" activeTab="1" xr2:uid="{00000000-000D-0000-FFFF-FFFF00000000}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客户表!$A$1:$AN$624</definedName>
    <definedName name="_xlnm._FilterDatabase" localSheetId="2" hidden="1">媒体表!$A$1:$U$64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91029"/>
</workbook>
</file>

<file path=xl/calcChain.xml><?xml version="1.0" encoding="utf-8"?>
<calcChain xmlns="http://schemas.openxmlformats.org/spreadsheetml/2006/main">
  <c r="AH566" i="1" l="1"/>
  <c r="AH563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5" i="1"/>
  <c r="AH564" i="1"/>
  <c r="AH499" i="1"/>
  <c r="H61" i="2" l="1"/>
  <c r="G61" i="2"/>
  <c r="AM440" i="1"/>
  <c r="H50" i="2"/>
  <c r="G50" i="2"/>
  <c r="I57" i="2" l="1"/>
  <c r="I51" i="2"/>
  <c r="I46" i="2"/>
  <c r="I58" i="2"/>
  <c r="I56" i="2"/>
  <c r="I53" i="2"/>
  <c r="I52" i="2"/>
  <c r="I50" i="2"/>
  <c r="I48" i="2"/>
  <c r="I47" i="2"/>
  <c r="I45" i="2"/>
  <c r="Y3" i="1" l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32" i="1"/>
  <c r="Y233" i="1"/>
  <c r="Y234" i="1"/>
  <c r="Y238" i="1"/>
  <c r="Y239" i="1"/>
  <c r="Y240" i="1"/>
  <c r="Y288" i="1"/>
  <c r="Y289" i="1"/>
  <c r="Y300" i="1"/>
  <c r="Y301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Y439" i="1"/>
  <c r="Y440" i="1"/>
  <c r="Y494" i="1"/>
  <c r="Y495" i="1"/>
  <c r="Y496" i="1"/>
  <c r="Y497" i="1"/>
  <c r="Y504" i="1"/>
  <c r="Y559" i="1"/>
  <c r="Y560" i="1"/>
  <c r="Y561" i="1"/>
  <c r="Y566" i="1"/>
  <c r="Y622" i="1"/>
  <c r="Y623" i="1"/>
  <c r="Y624" i="1"/>
  <c r="G51" i="15" l="1"/>
  <c r="H51" i="15" s="1"/>
  <c r="G50" i="15"/>
  <c r="H50" i="15" s="1"/>
  <c r="G49" i="15"/>
  <c r="H49" i="15" s="1"/>
  <c r="G48" i="15"/>
  <c r="H48" i="15" s="1"/>
  <c r="H47" i="15"/>
  <c r="G47" i="15"/>
  <c r="H46" i="15"/>
  <c r="G46" i="15"/>
  <c r="G45" i="15"/>
  <c r="H45" i="15" s="1"/>
  <c r="G44" i="15"/>
  <c r="H44" i="15" s="1"/>
  <c r="G43" i="15"/>
  <c r="H43" i="15" s="1"/>
  <c r="G42" i="15"/>
  <c r="H42" i="15" s="1"/>
  <c r="G41" i="15"/>
  <c r="H41" i="15" s="1"/>
  <c r="G40" i="15"/>
  <c r="H40" i="15" s="1"/>
  <c r="H39" i="15"/>
  <c r="G39" i="15"/>
  <c r="H38" i="15"/>
  <c r="G38" i="15"/>
  <c r="H37" i="15"/>
  <c r="G37" i="15"/>
  <c r="G36" i="15"/>
  <c r="H36" i="15" s="1"/>
  <c r="G35" i="15"/>
  <c r="H35" i="15" s="1"/>
  <c r="G34" i="15"/>
  <c r="H34" i="15" s="1"/>
  <c r="G33" i="15"/>
  <c r="H33" i="15" s="1"/>
  <c r="G32" i="15"/>
  <c r="H32" i="15" s="1"/>
  <c r="G31" i="15"/>
  <c r="H31" i="15" s="1"/>
  <c r="H30" i="15"/>
  <c r="G30" i="15"/>
  <c r="H29" i="15"/>
  <c r="G29" i="15"/>
  <c r="G28" i="15"/>
  <c r="H28" i="15" s="1"/>
  <c r="G27" i="15"/>
  <c r="H27" i="15" s="1"/>
  <c r="G26" i="15"/>
  <c r="H26" i="15" s="1"/>
  <c r="G25" i="15"/>
  <c r="H25" i="15" s="1"/>
  <c r="G24" i="15"/>
  <c r="H24" i="15" s="1"/>
  <c r="G23" i="15"/>
  <c r="H23" i="15" s="1"/>
  <c r="G22" i="15"/>
  <c r="H22" i="15" s="1"/>
  <c r="H21" i="15"/>
  <c r="G21" i="15"/>
  <c r="G20" i="15"/>
  <c r="H20" i="15" s="1"/>
  <c r="G19" i="15"/>
  <c r="H19" i="15" s="1"/>
  <c r="G18" i="15"/>
  <c r="H18" i="15" s="1"/>
  <c r="G17" i="15"/>
  <c r="H17" i="15" s="1"/>
  <c r="G16" i="15"/>
  <c r="H16" i="15" s="1"/>
  <c r="H15" i="15"/>
  <c r="G15" i="15"/>
  <c r="H14" i="15"/>
  <c r="G14" i="15"/>
  <c r="G13" i="15"/>
  <c r="H13" i="15" s="1"/>
  <c r="G12" i="15"/>
  <c r="H12" i="15" s="1"/>
  <c r="G11" i="15"/>
  <c r="H11" i="15" s="1"/>
  <c r="G10" i="15"/>
  <c r="H10" i="15" s="1"/>
  <c r="G9" i="15"/>
  <c r="H9" i="15" s="1"/>
  <c r="G8" i="15"/>
  <c r="H8" i="15" s="1"/>
  <c r="H7" i="15"/>
  <c r="G7" i="15"/>
  <c r="H6" i="15"/>
  <c r="G6" i="15"/>
  <c r="H5" i="15"/>
  <c r="G5" i="15"/>
  <c r="G4" i="15"/>
  <c r="G3" i="15"/>
  <c r="H3" i="15" s="1"/>
  <c r="G2" i="15"/>
  <c r="H2" i="15" s="1"/>
  <c r="F141" i="14"/>
  <c r="G141" i="14" s="1"/>
  <c r="F140" i="14"/>
  <c r="G140" i="14" s="1"/>
  <c r="F139" i="14"/>
  <c r="G139" i="14" s="1"/>
  <c r="F138" i="14"/>
  <c r="G138" i="14" s="1"/>
  <c r="F137" i="14"/>
  <c r="G137" i="14" s="1"/>
  <c r="F136" i="14"/>
  <c r="G136" i="14" s="1"/>
  <c r="F135" i="14"/>
  <c r="G135" i="14" s="1"/>
  <c r="F134" i="14"/>
  <c r="G134" i="14" s="1"/>
  <c r="F133" i="14"/>
  <c r="G133" i="14" s="1"/>
  <c r="F132" i="14"/>
  <c r="G132" i="14" s="1"/>
  <c r="F131" i="14"/>
  <c r="G131" i="14" s="1"/>
  <c r="F130" i="14"/>
  <c r="G130" i="14" s="1"/>
  <c r="G129" i="14"/>
  <c r="F129" i="14"/>
  <c r="F128" i="14"/>
  <c r="G128" i="14" s="1"/>
  <c r="F127" i="14"/>
  <c r="G127" i="14" s="1"/>
  <c r="F126" i="14"/>
  <c r="G126" i="14" s="1"/>
  <c r="G125" i="14"/>
  <c r="F125" i="14"/>
  <c r="F124" i="14"/>
  <c r="G124" i="14" s="1"/>
  <c r="F123" i="14"/>
  <c r="G123" i="14" s="1"/>
  <c r="F122" i="14"/>
  <c r="G122" i="14" s="1"/>
  <c r="G121" i="14"/>
  <c r="F121" i="14"/>
  <c r="F120" i="14"/>
  <c r="G120" i="14" s="1"/>
  <c r="F119" i="14"/>
  <c r="G119" i="14" s="1"/>
  <c r="F118" i="14"/>
  <c r="G118" i="14" s="1"/>
  <c r="F117" i="14"/>
  <c r="G117" i="14" s="1"/>
  <c r="F116" i="14"/>
  <c r="G116" i="14" s="1"/>
  <c r="F115" i="14"/>
  <c r="G115" i="14" s="1"/>
  <c r="F114" i="14"/>
  <c r="G114" i="14" s="1"/>
  <c r="F113" i="14"/>
  <c r="G113" i="14" s="1"/>
  <c r="F112" i="14"/>
  <c r="G112" i="14" s="1"/>
  <c r="F111" i="14"/>
  <c r="G111" i="14" s="1"/>
  <c r="F110" i="14"/>
  <c r="G110" i="14" s="1"/>
  <c r="F109" i="14"/>
  <c r="G109" i="14" s="1"/>
  <c r="F108" i="14"/>
  <c r="G108" i="14" s="1"/>
  <c r="F107" i="14"/>
  <c r="G107" i="14" s="1"/>
  <c r="F106" i="14"/>
  <c r="G106" i="14" s="1"/>
  <c r="F105" i="14"/>
  <c r="G105" i="14" s="1"/>
  <c r="F104" i="14"/>
  <c r="G104" i="14" s="1"/>
  <c r="F103" i="14"/>
  <c r="G103" i="14" s="1"/>
  <c r="F102" i="14"/>
  <c r="G102" i="14" s="1"/>
  <c r="F101" i="14"/>
  <c r="G101" i="14" s="1"/>
  <c r="F100" i="14"/>
  <c r="G100" i="14" s="1"/>
  <c r="F99" i="14"/>
  <c r="G99" i="14" s="1"/>
  <c r="F98" i="14"/>
  <c r="G98" i="14" s="1"/>
  <c r="F97" i="14"/>
  <c r="G97" i="14" s="1"/>
  <c r="F96" i="14"/>
  <c r="G96" i="14" s="1"/>
  <c r="F95" i="14"/>
  <c r="G95" i="14" s="1"/>
  <c r="F94" i="14"/>
  <c r="G94" i="14" s="1"/>
  <c r="F93" i="14"/>
  <c r="G93" i="14" s="1"/>
  <c r="F92" i="14"/>
  <c r="G92" i="14" s="1"/>
  <c r="F91" i="14"/>
  <c r="G91" i="14" s="1"/>
  <c r="F90" i="14"/>
  <c r="G90" i="14" s="1"/>
  <c r="F89" i="14"/>
  <c r="G89" i="14" s="1"/>
  <c r="F88" i="14"/>
  <c r="G88" i="14" s="1"/>
  <c r="F87" i="14"/>
  <c r="G87" i="14" s="1"/>
  <c r="F86" i="14"/>
  <c r="G86" i="14" s="1"/>
  <c r="F85" i="14"/>
  <c r="G85" i="14" s="1"/>
  <c r="F84" i="14"/>
  <c r="G84" i="14" s="1"/>
  <c r="F83" i="14"/>
  <c r="G83" i="14" s="1"/>
  <c r="F82" i="14"/>
  <c r="G82" i="14" s="1"/>
  <c r="F81" i="14"/>
  <c r="G81" i="14" s="1"/>
  <c r="F80" i="14"/>
  <c r="G80" i="14" s="1"/>
  <c r="F79" i="14"/>
  <c r="G79" i="14" s="1"/>
  <c r="F78" i="14"/>
  <c r="G78" i="14" s="1"/>
  <c r="F77" i="14"/>
  <c r="G77" i="14" s="1"/>
  <c r="F76" i="14"/>
  <c r="G76" i="14" s="1"/>
  <c r="F75" i="14"/>
  <c r="G75" i="14" s="1"/>
  <c r="F74" i="14"/>
  <c r="G74" i="14" s="1"/>
  <c r="F73" i="14"/>
  <c r="G73" i="14" s="1"/>
  <c r="F72" i="14"/>
  <c r="G72" i="14" s="1"/>
  <c r="F71" i="14"/>
  <c r="G71" i="14" s="1"/>
  <c r="F70" i="14"/>
  <c r="G70" i="14" s="1"/>
  <c r="F69" i="14"/>
  <c r="G69" i="14" s="1"/>
  <c r="F68" i="14"/>
  <c r="G68" i="14" s="1"/>
  <c r="F67" i="14"/>
  <c r="G67" i="14" s="1"/>
  <c r="F66" i="14"/>
  <c r="G66" i="14" s="1"/>
  <c r="F65" i="14"/>
  <c r="G65" i="14" s="1"/>
  <c r="F64" i="14"/>
  <c r="G64" i="14" s="1"/>
  <c r="F63" i="14"/>
  <c r="G63" i="14" s="1"/>
  <c r="F62" i="14"/>
  <c r="G62" i="14" s="1"/>
  <c r="F61" i="14"/>
  <c r="G61" i="14" s="1"/>
  <c r="F60" i="14"/>
  <c r="G60" i="14" s="1"/>
  <c r="F59" i="14"/>
  <c r="G59" i="14" s="1"/>
  <c r="F58" i="14"/>
  <c r="G58" i="14" s="1"/>
  <c r="F57" i="14"/>
  <c r="G57" i="14" s="1"/>
  <c r="F56" i="14"/>
  <c r="G56" i="14" s="1"/>
  <c r="F55" i="14"/>
  <c r="G55" i="14" s="1"/>
  <c r="F54" i="14"/>
  <c r="G54" i="14" s="1"/>
  <c r="F53" i="14"/>
  <c r="G53" i="14" s="1"/>
  <c r="F52" i="14"/>
  <c r="G52" i="14" s="1"/>
  <c r="F51" i="14"/>
  <c r="G51" i="14" s="1"/>
  <c r="F50" i="14"/>
  <c r="G50" i="14" s="1"/>
  <c r="F49" i="14"/>
  <c r="G49" i="14" s="1"/>
  <c r="F48" i="14"/>
  <c r="G48" i="14" s="1"/>
  <c r="F47" i="14"/>
  <c r="G47" i="14" s="1"/>
  <c r="F46" i="14"/>
  <c r="G46" i="14" s="1"/>
  <c r="F45" i="14"/>
  <c r="G45" i="14" s="1"/>
  <c r="F44" i="14"/>
  <c r="G44" i="14" s="1"/>
  <c r="F43" i="14"/>
  <c r="G43" i="14" s="1"/>
  <c r="F42" i="14"/>
  <c r="G42" i="14" s="1"/>
  <c r="F41" i="14"/>
  <c r="G41" i="14" s="1"/>
  <c r="F40" i="14"/>
  <c r="G40" i="14" s="1"/>
  <c r="F39" i="14"/>
  <c r="G39" i="14" s="1"/>
  <c r="F38" i="14"/>
  <c r="G38" i="14" s="1"/>
  <c r="F37" i="14"/>
  <c r="G37" i="14" s="1"/>
  <c r="F36" i="14"/>
  <c r="G36" i="14" s="1"/>
  <c r="F35" i="14"/>
  <c r="G35" i="14" s="1"/>
  <c r="F34" i="14"/>
  <c r="G34" i="14" s="1"/>
  <c r="F33" i="14"/>
  <c r="G33" i="14" s="1"/>
  <c r="F32" i="14"/>
  <c r="G32" i="14" s="1"/>
  <c r="F31" i="14"/>
  <c r="G31" i="14" s="1"/>
  <c r="F30" i="14"/>
  <c r="G30" i="14" s="1"/>
  <c r="F29" i="14"/>
  <c r="G29" i="14" s="1"/>
  <c r="F28" i="14"/>
  <c r="G28" i="14" s="1"/>
  <c r="F27" i="14"/>
  <c r="G27" i="14" s="1"/>
  <c r="F26" i="14"/>
  <c r="G26" i="14" s="1"/>
  <c r="F25" i="14"/>
  <c r="G25" i="14" s="1"/>
  <c r="F24" i="14"/>
  <c r="G24" i="14" s="1"/>
  <c r="F23" i="14"/>
  <c r="G23" i="14" s="1"/>
  <c r="F22" i="14"/>
  <c r="G22" i="14" s="1"/>
  <c r="F21" i="14"/>
  <c r="G21" i="14" s="1"/>
  <c r="F20" i="14"/>
  <c r="G20" i="14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12" i="14"/>
  <c r="G12" i="14" s="1"/>
  <c r="F11" i="14"/>
  <c r="G11" i="14" s="1"/>
  <c r="F10" i="14"/>
  <c r="G10" i="14" s="1"/>
  <c r="F9" i="14"/>
  <c r="G9" i="14" s="1"/>
  <c r="F8" i="14"/>
  <c r="G8" i="14" s="1"/>
  <c r="F7" i="14"/>
  <c r="G7" i="14" s="1"/>
  <c r="F6" i="14"/>
  <c r="G6" i="14" s="1"/>
  <c r="F5" i="14"/>
  <c r="G5" i="14" s="1"/>
  <c r="F4" i="14"/>
  <c r="G4" i="14" s="1"/>
  <c r="F3" i="14"/>
  <c r="G3" i="14" s="1"/>
  <c r="F2" i="14"/>
  <c r="H1" i="14" s="1"/>
  <c r="O64" i="2"/>
  <c r="J64" i="2"/>
  <c r="M64" i="2" s="1"/>
  <c r="J63" i="2"/>
  <c r="M63" i="2" s="1"/>
  <c r="H62" i="2"/>
  <c r="J62" i="2" s="1"/>
  <c r="M62" i="2" s="1"/>
  <c r="J61" i="2"/>
  <c r="M61" i="2" s="1"/>
  <c r="H60" i="2"/>
  <c r="J59" i="2"/>
  <c r="M59" i="2" s="1"/>
  <c r="M58" i="2"/>
  <c r="M57" i="2"/>
  <c r="M56" i="2"/>
  <c r="G56" i="2"/>
  <c r="J55" i="2"/>
  <c r="M55" i="2" s="1"/>
  <c r="J54" i="2"/>
  <c r="M54" i="2" s="1"/>
  <c r="M53" i="2"/>
  <c r="M52" i="2"/>
  <c r="M51" i="2"/>
  <c r="M50" i="2"/>
  <c r="J49" i="2"/>
  <c r="M49" i="2" s="1"/>
  <c r="M48" i="2"/>
  <c r="M47" i="2"/>
  <c r="M46" i="2"/>
  <c r="M45" i="2"/>
  <c r="J44" i="2"/>
  <c r="M44" i="2" s="1"/>
  <c r="J43" i="2"/>
  <c r="M43" i="2" s="1"/>
  <c r="J42" i="2"/>
  <c r="M42" i="2" s="1"/>
  <c r="J41" i="2"/>
  <c r="M41" i="2" s="1"/>
  <c r="J40" i="2"/>
  <c r="M40" i="2" s="1"/>
  <c r="M39" i="2"/>
  <c r="H39" i="2"/>
  <c r="I39" i="2" s="1"/>
  <c r="M38" i="2"/>
  <c r="I38" i="2"/>
  <c r="I37" i="2"/>
  <c r="G37" i="2"/>
  <c r="I36" i="2"/>
  <c r="H36" i="2"/>
  <c r="G36" i="2"/>
  <c r="J35" i="2"/>
  <c r="M35" i="2" s="1"/>
  <c r="M34" i="2"/>
  <c r="I34" i="2"/>
  <c r="H34" i="2"/>
  <c r="G34" i="2"/>
  <c r="J33" i="2"/>
  <c r="M32" i="2"/>
  <c r="H32" i="2"/>
  <c r="I32" i="2" s="1"/>
  <c r="G32" i="2"/>
  <c r="M31" i="2"/>
  <c r="H31" i="2"/>
  <c r="I31" i="2" s="1"/>
  <c r="G31" i="2"/>
  <c r="J29" i="2"/>
  <c r="M29" i="2" s="1"/>
  <c r="M28" i="2"/>
  <c r="H28" i="2"/>
  <c r="I28" i="2" s="1"/>
  <c r="G28" i="2"/>
  <c r="M27" i="2"/>
  <c r="I27" i="2"/>
  <c r="G27" i="2"/>
  <c r="M26" i="2"/>
  <c r="I26" i="2"/>
  <c r="G26" i="2"/>
  <c r="J24" i="2"/>
  <c r="M24" i="2" s="1"/>
  <c r="M23" i="2"/>
  <c r="I23" i="2"/>
  <c r="M22" i="2"/>
  <c r="I22" i="2"/>
  <c r="J21" i="2"/>
  <c r="M21" i="2" s="1"/>
  <c r="J20" i="2"/>
  <c r="M20" i="2" s="1"/>
  <c r="J19" i="2"/>
  <c r="M19" i="2" s="1"/>
  <c r="M18" i="2"/>
  <c r="I18" i="2"/>
  <c r="J17" i="2"/>
  <c r="M17" i="2" s="1"/>
  <c r="M16" i="2"/>
  <c r="I16" i="2"/>
  <c r="M15" i="2"/>
  <c r="H15" i="2"/>
  <c r="I15" i="2" s="1"/>
  <c r="G15" i="2"/>
  <c r="J10" i="2"/>
  <c r="M10" i="2" s="1"/>
  <c r="J9" i="2"/>
  <c r="M9" i="2" s="1"/>
  <c r="J8" i="2"/>
  <c r="M8" i="2" s="1"/>
  <c r="J7" i="2"/>
  <c r="M7" i="2" s="1"/>
  <c r="M6" i="2"/>
  <c r="I6" i="2"/>
  <c r="M5" i="2"/>
  <c r="I5" i="2"/>
  <c r="M4" i="2"/>
  <c r="I4" i="2"/>
  <c r="M3" i="2"/>
  <c r="I3" i="2"/>
  <c r="M2" i="2"/>
  <c r="I2" i="2"/>
  <c r="H2" i="2"/>
  <c r="G2" i="2"/>
  <c r="AA624" i="1"/>
  <c r="Z624" i="1"/>
  <c r="V624" i="1"/>
  <c r="AD623" i="1"/>
  <c r="AA623" i="1"/>
  <c r="Z623" i="1"/>
  <c r="V623" i="1"/>
  <c r="AD622" i="1"/>
  <c r="AA622" i="1"/>
  <c r="Z622" i="1"/>
  <c r="AM621" i="1"/>
  <c r="AJ621" i="1"/>
  <c r="AL621" i="1" s="1"/>
  <c r="AB621" i="1"/>
  <c r="AD621" i="1" s="1"/>
  <c r="W621" i="1"/>
  <c r="V621" i="1"/>
  <c r="AM620" i="1"/>
  <c r="AJ620" i="1"/>
  <c r="AL620" i="1" s="1"/>
  <c r="AB620" i="1"/>
  <c r="AD620" i="1" s="1"/>
  <c r="W620" i="1"/>
  <c r="V620" i="1"/>
  <c r="AM619" i="1"/>
  <c r="AJ619" i="1"/>
  <c r="AL619" i="1" s="1"/>
  <c r="AB619" i="1"/>
  <c r="AD619" i="1" s="1"/>
  <c r="W619" i="1"/>
  <c r="V619" i="1"/>
  <c r="AM618" i="1"/>
  <c r="AJ618" i="1"/>
  <c r="AL618" i="1" s="1"/>
  <c r="AB618" i="1"/>
  <c r="W618" i="1"/>
  <c r="V618" i="1"/>
  <c r="AM617" i="1"/>
  <c r="AJ617" i="1"/>
  <c r="AL617" i="1" s="1"/>
  <c r="AB617" i="1"/>
  <c r="W617" i="1"/>
  <c r="V617" i="1"/>
  <c r="AM616" i="1"/>
  <c r="AJ616" i="1"/>
  <c r="AL616" i="1" s="1"/>
  <c r="AB616" i="1"/>
  <c r="AD616" i="1" s="1"/>
  <c r="W616" i="1"/>
  <c r="V616" i="1"/>
  <c r="AM615" i="1"/>
  <c r="AJ615" i="1"/>
  <c r="AL615" i="1" s="1"/>
  <c r="AB615" i="1"/>
  <c r="AD615" i="1" s="1"/>
  <c r="W615" i="1"/>
  <c r="V615" i="1"/>
  <c r="AM614" i="1"/>
  <c r="AJ614" i="1"/>
  <c r="AL614" i="1" s="1"/>
  <c r="AB614" i="1"/>
  <c r="AD614" i="1" s="1"/>
  <c r="W614" i="1"/>
  <c r="V614" i="1"/>
  <c r="AM613" i="1"/>
  <c r="AJ613" i="1"/>
  <c r="AL613" i="1" s="1"/>
  <c r="AB613" i="1"/>
  <c r="AD613" i="1" s="1"/>
  <c r="W613" i="1"/>
  <c r="V613" i="1"/>
  <c r="AM612" i="1"/>
  <c r="AJ612" i="1"/>
  <c r="AL612" i="1" s="1"/>
  <c r="AB612" i="1"/>
  <c r="AD612" i="1" s="1"/>
  <c r="W612" i="1"/>
  <c r="V612" i="1"/>
  <c r="AM611" i="1"/>
  <c r="AJ611" i="1"/>
  <c r="AL611" i="1" s="1"/>
  <c r="AB611" i="1"/>
  <c r="AD611" i="1" s="1"/>
  <c r="W611" i="1"/>
  <c r="V611" i="1"/>
  <c r="AM610" i="1"/>
  <c r="AJ610" i="1"/>
  <c r="AL610" i="1" s="1"/>
  <c r="AB610" i="1"/>
  <c r="AD610" i="1" s="1"/>
  <c r="W610" i="1"/>
  <c r="V610" i="1"/>
  <c r="AM609" i="1"/>
  <c r="AJ609" i="1"/>
  <c r="AL609" i="1" s="1"/>
  <c r="AB609" i="1"/>
  <c r="W609" i="1"/>
  <c r="V609" i="1"/>
  <c r="AM608" i="1"/>
  <c r="AJ608" i="1"/>
  <c r="AL608" i="1" s="1"/>
  <c r="AB608" i="1"/>
  <c r="W608" i="1"/>
  <c r="V608" i="1"/>
  <c r="AM607" i="1"/>
  <c r="AJ607" i="1"/>
  <c r="AL607" i="1" s="1"/>
  <c r="AB607" i="1"/>
  <c r="AD607" i="1" s="1"/>
  <c r="W607" i="1"/>
  <c r="V607" i="1"/>
  <c r="AM606" i="1"/>
  <c r="AJ606" i="1"/>
  <c r="AL606" i="1" s="1"/>
  <c r="AB606" i="1"/>
  <c r="AD606" i="1" s="1"/>
  <c r="W606" i="1"/>
  <c r="V606" i="1"/>
  <c r="AM605" i="1"/>
  <c r="AJ605" i="1"/>
  <c r="AL605" i="1" s="1"/>
  <c r="AB605" i="1"/>
  <c r="AD605" i="1" s="1"/>
  <c r="W605" i="1"/>
  <c r="V605" i="1"/>
  <c r="AM604" i="1"/>
  <c r="AJ604" i="1"/>
  <c r="AL604" i="1" s="1"/>
  <c r="AB604" i="1"/>
  <c r="AD604" i="1" s="1"/>
  <c r="W604" i="1"/>
  <c r="V604" i="1"/>
  <c r="AM603" i="1"/>
  <c r="AJ603" i="1"/>
  <c r="AL603" i="1" s="1"/>
  <c r="AB603" i="1"/>
  <c r="AD603" i="1" s="1"/>
  <c r="W603" i="1"/>
  <c r="V603" i="1"/>
  <c r="AM602" i="1"/>
  <c r="AJ602" i="1"/>
  <c r="AL602" i="1" s="1"/>
  <c r="AB602" i="1"/>
  <c r="AD602" i="1" s="1"/>
  <c r="W602" i="1"/>
  <c r="V602" i="1"/>
  <c r="AM601" i="1"/>
  <c r="AJ601" i="1"/>
  <c r="AL601" i="1" s="1"/>
  <c r="AB601" i="1"/>
  <c r="AD601" i="1" s="1"/>
  <c r="W601" i="1"/>
  <c r="V601" i="1"/>
  <c r="AM600" i="1"/>
  <c r="AJ600" i="1"/>
  <c r="AL600" i="1" s="1"/>
  <c r="AB600" i="1"/>
  <c r="AD600" i="1" s="1"/>
  <c r="W600" i="1"/>
  <c r="V600" i="1"/>
  <c r="AM599" i="1"/>
  <c r="AJ599" i="1"/>
  <c r="AL599" i="1" s="1"/>
  <c r="AB599" i="1"/>
  <c r="AD599" i="1" s="1"/>
  <c r="W599" i="1"/>
  <c r="V599" i="1"/>
  <c r="AM598" i="1"/>
  <c r="AJ598" i="1"/>
  <c r="AL598" i="1" s="1"/>
  <c r="AB598" i="1"/>
  <c r="W598" i="1"/>
  <c r="V598" i="1"/>
  <c r="AM597" i="1"/>
  <c r="AJ597" i="1"/>
  <c r="AL597" i="1" s="1"/>
  <c r="AB597" i="1"/>
  <c r="AD597" i="1" s="1"/>
  <c r="W597" i="1"/>
  <c r="V597" i="1"/>
  <c r="AM596" i="1"/>
  <c r="AJ596" i="1"/>
  <c r="AL596" i="1" s="1"/>
  <c r="AB596" i="1"/>
  <c r="AD596" i="1" s="1"/>
  <c r="W596" i="1"/>
  <c r="V596" i="1"/>
  <c r="AM595" i="1"/>
  <c r="AJ595" i="1"/>
  <c r="AL595" i="1" s="1"/>
  <c r="AB595" i="1"/>
  <c r="AD595" i="1" s="1"/>
  <c r="W595" i="1"/>
  <c r="V595" i="1"/>
  <c r="AM594" i="1"/>
  <c r="AJ594" i="1"/>
  <c r="AL594" i="1" s="1"/>
  <c r="AB594" i="1"/>
  <c r="W594" i="1"/>
  <c r="V594" i="1"/>
  <c r="AM593" i="1"/>
  <c r="AJ593" i="1"/>
  <c r="AL593" i="1" s="1"/>
  <c r="AB593" i="1"/>
  <c r="AD593" i="1" s="1"/>
  <c r="W593" i="1"/>
  <c r="V593" i="1"/>
  <c r="AM592" i="1"/>
  <c r="AJ592" i="1"/>
  <c r="AL592" i="1" s="1"/>
  <c r="AB592" i="1"/>
  <c r="AD592" i="1" s="1"/>
  <c r="W592" i="1"/>
  <c r="V592" i="1"/>
  <c r="AM591" i="1"/>
  <c r="AJ591" i="1"/>
  <c r="AL591" i="1" s="1"/>
  <c r="AB591" i="1"/>
  <c r="AD591" i="1" s="1"/>
  <c r="W591" i="1"/>
  <c r="V591" i="1"/>
  <c r="AM590" i="1"/>
  <c r="AJ590" i="1"/>
  <c r="AL590" i="1" s="1"/>
  <c r="AB590" i="1"/>
  <c r="AD590" i="1" s="1"/>
  <c r="W590" i="1"/>
  <c r="V590" i="1"/>
  <c r="AM589" i="1"/>
  <c r="AJ589" i="1"/>
  <c r="AL589" i="1" s="1"/>
  <c r="AB589" i="1"/>
  <c r="AD589" i="1" s="1"/>
  <c r="W589" i="1"/>
  <c r="V589" i="1"/>
  <c r="AM588" i="1"/>
  <c r="AJ588" i="1"/>
  <c r="AL588" i="1" s="1"/>
  <c r="AB588" i="1"/>
  <c r="W588" i="1"/>
  <c r="V588" i="1"/>
  <c r="AM587" i="1"/>
  <c r="AJ587" i="1"/>
  <c r="AL587" i="1" s="1"/>
  <c r="AB587" i="1"/>
  <c r="W587" i="1"/>
  <c r="V587" i="1"/>
  <c r="AM586" i="1"/>
  <c r="AJ586" i="1"/>
  <c r="AL586" i="1" s="1"/>
  <c r="AB586" i="1"/>
  <c r="AD586" i="1" s="1"/>
  <c r="W586" i="1"/>
  <c r="V586" i="1"/>
  <c r="AM585" i="1"/>
  <c r="AJ585" i="1"/>
  <c r="AL585" i="1" s="1"/>
  <c r="AB585" i="1"/>
  <c r="W585" i="1"/>
  <c r="V585" i="1"/>
  <c r="AM584" i="1"/>
  <c r="AJ584" i="1"/>
  <c r="AL584" i="1" s="1"/>
  <c r="AB584" i="1"/>
  <c r="AD584" i="1" s="1"/>
  <c r="W584" i="1"/>
  <c r="V584" i="1"/>
  <c r="AM583" i="1"/>
  <c r="AJ583" i="1"/>
  <c r="AL583" i="1" s="1"/>
  <c r="AB583" i="1"/>
  <c r="AD583" i="1" s="1"/>
  <c r="W583" i="1"/>
  <c r="V583" i="1"/>
  <c r="AM582" i="1"/>
  <c r="AJ582" i="1"/>
  <c r="AL582" i="1" s="1"/>
  <c r="AB582" i="1"/>
  <c r="AD582" i="1" s="1"/>
  <c r="W582" i="1"/>
  <c r="V582" i="1"/>
  <c r="AM581" i="1"/>
  <c r="AJ581" i="1"/>
  <c r="AL581" i="1" s="1"/>
  <c r="AB581" i="1"/>
  <c r="AD581" i="1" s="1"/>
  <c r="W581" i="1"/>
  <c r="V581" i="1"/>
  <c r="AM580" i="1"/>
  <c r="AJ580" i="1"/>
  <c r="AL580" i="1" s="1"/>
  <c r="AB580" i="1"/>
  <c r="AD580" i="1" s="1"/>
  <c r="W580" i="1"/>
  <c r="V580" i="1"/>
  <c r="AM579" i="1"/>
  <c r="AJ579" i="1"/>
  <c r="AL579" i="1" s="1"/>
  <c r="AB579" i="1"/>
  <c r="W579" i="1"/>
  <c r="V579" i="1"/>
  <c r="AM578" i="1"/>
  <c r="AJ578" i="1"/>
  <c r="AL578" i="1" s="1"/>
  <c r="AB578" i="1"/>
  <c r="W578" i="1"/>
  <c r="V578" i="1"/>
  <c r="AM577" i="1"/>
  <c r="AJ577" i="1"/>
  <c r="AL577" i="1" s="1"/>
  <c r="AB577" i="1"/>
  <c r="AD577" i="1" s="1"/>
  <c r="W577" i="1"/>
  <c r="V577" i="1"/>
  <c r="AM576" i="1"/>
  <c r="AJ576" i="1"/>
  <c r="AL576" i="1" s="1"/>
  <c r="AB576" i="1"/>
  <c r="AD576" i="1" s="1"/>
  <c r="W576" i="1"/>
  <c r="V576" i="1"/>
  <c r="AM575" i="1"/>
  <c r="AJ575" i="1"/>
  <c r="AL575" i="1" s="1"/>
  <c r="AB575" i="1"/>
  <c r="AD575" i="1" s="1"/>
  <c r="W575" i="1"/>
  <c r="V575" i="1"/>
  <c r="AM574" i="1"/>
  <c r="AJ574" i="1"/>
  <c r="AL574" i="1" s="1"/>
  <c r="AB574" i="1"/>
  <c r="AD574" i="1" s="1"/>
  <c r="W574" i="1"/>
  <c r="V574" i="1"/>
  <c r="AM573" i="1"/>
  <c r="AJ573" i="1"/>
  <c r="AL573" i="1" s="1"/>
  <c r="AB573" i="1"/>
  <c r="W573" i="1"/>
  <c r="V573" i="1"/>
  <c r="AM572" i="1"/>
  <c r="AJ572" i="1"/>
  <c r="AL572" i="1" s="1"/>
  <c r="AB572" i="1"/>
  <c r="W572" i="1"/>
  <c r="V572" i="1"/>
  <c r="AM571" i="1"/>
  <c r="AJ571" i="1"/>
  <c r="AL571" i="1" s="1"/>
  <c r="AB571" i="1"/>
  <c r="AD571" i="1" s="1"/>
  <c r="W571" i="1"/>
  <c r="V571" i="1"/>
  <c r="AM570" i="1"/>
  <c r="AJ570" i="1"/>
  <c r="AL570" i="1" s="1"/>
  <c r="AB570" i="1"/>
  <c r="W570" i="1"/>
  <c r="V570" i="1"/>
  <c r="AM569" i="1"/>
  <c r="AJ569" i="1"/>
  <c r="AL569" i="1" s="1"/>
  <c r="AB569" i="1"/>
  <c r="AD569" i="1" s="1"/>
  <c r="W569" i="1"/>
  <c r="V569" i="1"/>
  <c r="AJ568" i="1"/>
  <c r="AL568" i="1" s="1"/>
  <c r="AB568" i="1"/>
  <c r="AA568" i="1"/>
  <c r="Z568" i="1"/>
  <c r="V568" i="1"/>
  <c r="AJ567" i="1"/>
  <c r="AL567" i="1" s="1"/>
  <c r="AB567" i="1"/>
  <c r="Y567" i="1" s="1"/>
  <c r="AA567" i="1"/>
  <c r="Z567" i="1"/>
  <c r="V567" i="1"/>
  <c r="AM566" i="1"/>
  <c r="AJ566" i="1"/>
  <c r="AL566" i="1" s="1"/>
  <c r="AD566" i="1"/>
  <c r="AA566" i="1"/>
  <c r="Z566" i="1"/>
  <c r="V566" i="1"/>
  <c r="AM565" i="1"/>
  <c r="AJ565" i="1"/>
  <c r="AL565" i="1" s="1"/>
  <c r="AB565" i="1"/>
  <c r="AD565" i="1" s="1"/>
  <c r="W565" i="1"/>
  <c r="V565" i="1"/>
  <c r="AM564" i="1"/>
  <c r="AJ564" i="1"/>
  <c r="AL564" i="1" s="1"/>
  <c r="AB564" i="1"/>
  <c r="AD564" i="1" s="1"/>
  <c r="W564" i="1"/>
  <c r="V564" i="1"/>
  <c r="AM563" i="1"/>
  <c r="AJ563" i="1"/>
  <c r="AL563" i="1" s="1"/>
  <c r="AB563" i="1"/>
  <c r="AD563" i="1" s="1"/>
  <c r="W563" i="1"/>
  <c r="V563" i="1"/>
  <c r="AD562" i="1"/>
  <c r="W562" i="1"/>
  <c r="AA561" i="1"/>
  <c r="Z561" i="1"/>
  <c r="O59" i="2" s="1"/>
  <c r="AD560" i="1"/>
  <c r="AA560" i="1"/>
  <c r="Z560" i="1"/>
  <c r="AD559" i="1"/>
  <c r="AA559" i="1"/>
  <c r="Z559" i="1"/>
  <c r="AM558" i="1"/>
  <c r="AJ558" i="1"/>
  <c r="AL558" i="1" s="1"/>
  <c r="AH558" i="1"/>
  <c r="AB558" i="1"/>
  <c r="W558" i="1"/>
  <c r="V558" i="1"/>
  <c r="AM557" i="1"/>
  <c r="AJ557" i="1"/>
  <c r="AL557" i="1" s="1"/>
  <c r="AH557" i="1"/>
  <c r="AB557" i="1"/>
  <c r="AD557" i="1" s="1"/>
  <c r="W557" i="1"/>
  <c r="V557" i="1"/>
  <c r="AM556" i="1"/>
  <c r="AJ556" i="1"/>
  <c r="AL556" i="1" s="1"/>
  <c r="AH556" i="1"/>
  <c r="AB556" i="1"/>
  <c r="AD556" i="1" s="1"/>
  <c r="W556" i="1"/>
  <c r="V556" i="1"/>
  <c r="AM555" i="1"/>
  <c r="AJ555" i="1"/>
  <c r="AL555" i="1" s="1"/>
  <c r="AH555" i="1"/>
  <c r="AB555" i="1"/>
  <c r="AD555" i="1" s="1"/>
  <c r="W555" i="1"/>
  <c r="V555" i="1"/>
  <c r="AM554" i="1"/>
  <c r="AJ554" i="1"/>
  <c r="AL554" i="1" s="1"/>
  <c r="AH554" i="1"/>
  <c r="AB554" i="1"/>
  <c r="W554" i="1"/>
  <c r="V554" i="1"/>
  <c r="AM553" i="1"/>
  <c r="AJ553" i="1"/>
  <c r="AL553" i="1" s="1"/>
  <c r="AH553" i="1"/>
  <c r="AB553" i="1"/>
  <c r="AD553" i="1" s="1"/>
  <c r="W553" i="1"/>
  <c r="V553" i="1"/>
  <c r="AM552" i="1"/>
  <c r="AJ552" i="1"/>
  <c r="AL552" i="1" s="1"/>
  <c r="AH552" i="1"/>
  <c r="AB552" i="1"/>
  <c r="AD552" i="1" s="1"/>
  <c r="W552" i="1"/>
  <c r="V552" i="1"/>
  <c r="AM551" i="1"/>
  <c r="AJ551" i="1"/>
  <c r="AL551" i="1" s="1"/>
  <c r="AH551" i="1"/>
  <c r="AB551" i="1"/>
  <c r="AD551" i="1" s="1"/>
  <c r="W551" i="1"/>
  <c r="V551" i="1"/>
  <c r="AM550" i="1"/>
  <c r="AJ550" i="1"/>
  <c r="AL550" i="1" s="1"/>
  <c r="AH550" i="1"/>
  <c r="AB550" i="1"/>
  <c r="AD550" i="1" s="1"/>
  <c r="W550" i="1"/>
  <c r="V550" i="1"/>
  <c r="AM549" i="1"/>
  <c r="AJ549" i="1"/>
  <c r="AL549" i="1" s="1"/>
  <c r="AH549" i="1"/>
  <c r="AB549" i="1"/>
  <c r="AD549" i="1" s="1"/>
  <c r="W549" i="1"/>
  <c r="V549" i="1"/>
  <c r="AM548" i="1"/>
  <c r="AJ548" i="1"/>
  <c r="AL548" i="1" s="1"/>
  <c r="AH548" i="1"/>
  <c r="AB548" i="1"/>
  <c r="AD548" i="1" s="1"/>
  <c r="W548" i="1"/>
  <c r="V548" i="1"/>
  <c r="AM547" i="1"/>
  <c r="AJ547" i="1"/>
  <c r="AL547" i="1" s="1"/>
  <c r="AH547" i="1"/>
  <c r="AB547" i="1"/>
  <c r="W547" i="1"/>
  <c r="V547" i="1"/>
  <c r="AM546" i="1"/>
  <c r="AJ546" i="1"/>
  <c r="AL546" i="1" s="1"/>
  <c r="AH546" i="1"/>
  <c r="AB546" i="1"/>
  <c r="AD546" i="1" s="1"/>
  <c r="W546" i="1"/>
  <c r="V546" i="1"/>
  <c r="AM545" i="1"/>
  <c r="AJ545" i="1"/>
  <c r="AL545" i="1" s="1"/>
  <c r="AH545" i="1"/>
  <c r="AB545" i="1"/>
  <c r="AD545" i="1" s="1"/>
  <c r="W545" i="1"/>
  <c r="V545" i="1"/>
  <c r="AM544" i="1"/>
  <c r="AJ544" i="1"/>
  <c r="AL544" i="1" s="1"/>
  <c r="AH544" i="1"/>
  <c r="AB544" i="1"/>
  <c r="AD544" i="1" s="1"/>
  <c r="W544" i="1"/>
  <c r="V544" i="1"/>
  <c r="AM543" i="1"/>
  <c r="AJ543" i="1"/>
  <c r="AL543" i="1" s="1"/>
  <c r="AH543" i="1"/>
  <c r="AB543" i="1"/>
  <c r="AD543" i="1" s="1"/>
  <c r="W543" i="1"/>
  <c r="V543" i="1"/>
  <c r="AM542" i="1"/>
  <c r="AJ542" i="1"/>
  <c r="AL542" i="1" s="1"/>
  <c r="AH542" i="1"/>
  <c r="AB542" i="1"/>
  <c r="W542" i="1"/>
  <c r="V542" i="1"/>
  <c r="AM541" i="1"/>
  <c r="AJ541" i="1"/>
  <c r="AL541" i="1" s="1"/>
  <c r="AH541" i="1"/>
  <c r="AB541" i="1"/>
  <c r="AD541" i="1" s="1"/>
  <c r="W541" i="1"/>
  <c r="V541" i="1"/>
  <c r="AM540" i="1"/>
  <c r="AJ540" i="1"/>
  <c r="AL540" i="1" s="1"/>
  <c r="AH540" i="1"/>
  <c r="AB540" i="1"/>
  <c r="W540" i="1"/>
  <c r="V540" i="1"/>
  <c r="AM539" i="1"/>
  <c r="AJ539" i="1"/>
  <c r="AL539" i="1" s="1"/>
  <c r="AH539" i="1"/>
  <c r="AB539" i="1"/>
  <c r="AD539" i="1" s="1"/>
  <c r="W539" i="1"/>
  <c r="V539" i="1"/>
  <c r="AM538" i="1"/>
  <c r="AJ538" i="1"/>
  <c r="AL538" i="1" s="1"/>
  <c r="AH538" i="1"/>
  <c r="AB538" i="1"/>
  <c r="AD538" i="1" s="1"/>
  <c r="W538" i="1"/>
  <c r="V538" i="1"/>
  <c r="AM537" i="1"/>
  <c r="AJ537" i="1"/>
  <c r="AL537" i="1" s="1"/>
  <c r="AH537" i="1"/>
  <c r="AB537" i="1"/>
  <c r="AD537" i="1" s="1"/>
  <c r="W537" i="1"/>
  <c r="V537" i="1"/>
  <c r="AM536" i="1"/>
  <c r="AJ536" i="1"/>
  <c r="AL536" i="1" s="1"/>
  <c r="AH536" i="1"/>
  <c r="AB536" i="1"/>
  <c r="AD536" i="1" s="1"/>
  <c r="W536" i="1"/>
  <c r="V536" i="1"/>
  <c r="AM535" i="1"/>
  <c r="AJ535" i="1"/>
  <c r="AL535" i="1" s="1"/>
  <c r="AH535" i="1"/>
  <c r="AB535" i="1"/>
  <c r="AD535" i="1" s="1"/>
  <c r="W535" i="1"/>
  <c r="V535" i="1"/>
  <c r="AM534" i="1"/>
  <c r="AJ534" i="1"/>
  <c r="AL534" i="1" s="1"/>
  <c r="AH534" i="1"/>
  <c r="AB534" i="1"/>
  <c r="AD534" i="1" s="1"/>
  <c r="W534" i="1"/>
  <c r="V534" i="1"/>
  <c r="AM533" i="1"/>
  <c r="AJ533" i="1"/>
  <c r="AL533" i="1" s="1"/>
  <c r="AH533" i="1"/>
  <c r="AB533" i="1"/>
  <c r="AD533" i="1" s="1"/>
  <c r="W533" i="1"/>
  <c r="V533" i="1"/>
  <c r="AM532" i="1"/>
  <c r="AJ532" i="1"/>
  <c r="AL532" i="1" s="1"/>
  <c r="AH532" i="1"/>
  <c r="AB532" i="1"/>
  <c r="AD532" i="1" s="1"/>
  <c r="W532" i="1"/>
  <c r="V532" i="1"/>
  <c r="AM531" i="1"/>
  <c r="AJ531" i="1"/>
  <c r="AL531" i="1" s="1"/>
  <c r="AH531" i="1"/>
  <c r="AB531" i="1"/>
  <c r="AD531" i="1" s="1"/>
  <c r="W531" i="1"/>
  <c r="V531" i="1"/>
  <c r="AM530" i="1"/>
  <c r="AJ530" i="1"/>
  <c r="AL530" i="1" s="1"/>
  <c r="AH530" i="1"/>
  <c r="AB530" i="1"/>
  <c r="AD530" i="1" s="1"/>
  <c r="W530" i="1"/>
  <c r="V530" i="1"/>
  <c r="AM529" i="1"/>
  <c r="AJ529" i="1"/>
  <c r="AL529" i="1" s="1"/>
  <c r="AH529" i="1"/>
  <c r="AB529" i="1"/>
  <c r="AD529" i="1" s="1"/>
  <c r="W529" i="1"/>
  <c r="V529" i="1"/>
  <c r="AM528" i="1"/>
  <c r="AJ528" i="1"/>
  <c r="AL528" i="1" s="1"/>
  <c r="AH528" i="1"/>
  <c r="AB528" i="1"/>
  <c r="AD528" i="1" s="1"/>
  <c r="W528" i="1"/>
  <c r="V528" i="1"/>
  <c r="AM527" i="1"/>
  <c r="AJ527" i="1"/>
  <c r="AL527" i="1" s="1"/>
  <c r="AH527" i="1"/>
  <c r="AB527" i="1"/>
  <c r="AD527" i="1" s="1"/>
  <c r="W527" i="1"/>
  <c r="V527" i="1"/>
  <c r="AM526" i="1"/>
  <c r="AJ526" i="1"/>
  <c r="AL526" i="1" s="1"/>
  <c r="AH526" i="1"/>
  <c r="AB526" i="1"/>
  <c r="AD526" i="1" s="1"/>
  <c r="W526" i="1"/>
  <c r="V526" i="1"/>
  <c r="AM525" i="1"/>
  <c r="AJ525" i="1"/>
  <c r="AL525" i="1" s="1"/>
  <c r="AH525" i="1"/>
  <c r="AB525" i="1"/>
  <c r="W525" i="1"/>
  <c r="V525" i="1"/>
  <c r="AM524" i="1"/>
  <c r="AJ524" i="1"/>
  <c r="AL524" i="1" s="1"/>
  <c r="AH524" i="1"/>
  <c r="AB524" i="1"/>
  <c r="AD524" i="1" s="1"/>
  <c r="W524" i="1"/>
  <c r="V524" i="1"/>
  <c r="AM523" i="1"/>
  <c r="AJ523" i="1"/>
  <c r="AL523" i="1" s="1"/>
  <c r="AH523" i="1"/>
  <c r="AB523" i="1"/>
  <c r="AD523" i="1" s="1"/>
  <c r="W523" i="1"/>
  <c r="V523" i="1"/>
  <c r="AM522" i="1"/>
  <c r="AJ522" i="1"/>
  <c r="AL522" i="1" s="1"/>
  <c r="AH522" i="1"/>
  <c r="AB522" i="1"/>
  <c r="AD522" i="1" s="1"/>
  <c r="W522" i="1"/>
  <c r="V522" i="1"/>
  <c r="AM521" i="1"/>
  <c r="AJ521" i="1"/>
  <c r="AL521" i="1" s="1"/>
  <c r="AH521" i="1"/>
  <c r="AB521" i="1"/>
  <c r="AD521" i="1" s="1"/>
  <c r="W521" i="1"/>
  <c r="V521" i="1"/>
  <c r="AM520" i="1"/>
  <c r="AJ520" i="1"/>
  <c r="AL520" i="1" s="1"/>
  <c r="AH520" i="1"/>
  <c r="AB520" i="1"/>
  <c r="W520" i="1"/>
  <c r="V520" i="1"/>
  <c r="AM519" i="1"/>
  <c r="AJ519" i="1"/>
  <c r="AL519" i="1" s="1"/>
  <c r="AH519" i="1"/>
  <c r="AB519" i="1"/>
  <c r="W519" i="1"/>
  <c r="V519" i="1"/>
  <c r="AM518" i="1"/>
  <c r="AJ518" i="1"/>
  <c r="AL518" i="1" s="1"/>
  <c r="AH518" i="1"/>
  <c r="AB518" i="1"/>
  <c r="AD518" i="1" s="1"/>
  <c r="W518" i="1"/>
  <c r="V518" i="1"/>
  <c r="AM517" i="1"/>
  <c r="AJ517" i="1"/>
  <c r="AL517" i="1" s="1"/>
  <c r="AH517" i="1"/>
  <c r="AB517" i="1"/>
  <c r="W517" i="1"/>
  <c r="V517" i="1"/>
  <c r="AM516" i="1"/>
  <c r="AJ516" i="1"/>
  <c r="AL516" i="1" s="1"/>
  <c r="AH516" i="1"/>
  <c r="AB516" i="1"/>
  <c r="W516" i="1"/>
  <c r="V516" i="1"/>
  <c r="AM515" i="1"/>
  <c r="AJ515" i="1"/>
  <c r="AL515" i="1" s="1"/>
  <c r="AH515" i="1"/>
  <c r="AB515" i="1"/>
  <c r="AD515" i="1" s="1"/>
  <c r="W515" i="1"/>
  <c r="V515" i="1"/>
  <c r="AM514" i="1"/>
  <c r="AJ514" i="1"/>
  <c r="AL514" i="1" s="1"/>
  <c r="AH514" i="1"/>
  <c r="AB514" i="1"/>
  <c r="AD514" i="1" s="1"/>
  <c r="W514" i="1"/>
  <c r="V514" i="1"/>
  <c r="AM513" i="1"/>
  <c r="AJ513" i="1"/>
  <c r="AL513" i="1" s="1"/>
  <c r="AH513" i="1"/>
  <c r="AB513" i="1"/>
  <c r="W513" i="1"/>
  <c r="V513" i="1"/>
  <c r="AM512" i="1"/>
  <c r="AJ512" i="1"/>
  <c r="AL512" i="1" s="1"/>
  <c r="AH512" i="1"/>
  <c r="AB512" i="1"/>
  <c r="AD512" i="1" s="1"/>
  <c r="W512" i="1"/>
  <c r="V512" i="1"/>
  <c r="AM511" i="1"/>
  <c r="AJ511" i="1"/>
  <c r="AL511" i="1" s="1"/>
  <c r="AH511" i="1"/>
  <c r="AB511" i="1"/>
  <c r="AD511" i="1" s="1"/>
  <c r="W511" i="1"/>
  <c r="V511" i="1"/>
  <c r="AM510" i="1"/>
  <c r="AJ510" i="1"/>
  <c r="AL510" i="1" s="1"/>
  <c r="AH510" i="1"/>
  <c r="AB510" i="1"/>
  <c r="AD510" i="1" s="1"/>
  <c r="W510" i="1"/>
  <c r="V510" i="1"/>
  <c r="AM509" i="1"/>
  <c r="AJ509" i="1"/>
  <c r="AL509" i="1" s="1"/>
  <c r="AH509" i="1"/>
  <c r="AB509" i="1"/>
  <c r="W509" i="1"/>
  <c r="V509" i="1"/>
  <c r="AM508" i="1"/>
  <c r="AJ508" i="1"/>
  <c r="AL508" i="1" s="1"/>
  <c r="AH508" i="1"/>
  <c r="AB508" i="1"/>
  <c r="AD508" i="1" s="1"/>
  <c r="W508" i="1"/>
  <c r="V508" i="1"/>
  <c r="AM507" i="1"/>
  <c r="AJ507" i="1"/>
  <c r="AL507" i="1" s="1"/>
  <c r="AH507" i="1"/>
  <c r="AB507" i="1"/>
  <c r="AD507" i="1" s="1"/>
  <c r="W507" i="1"/>
  <c r="V507" i="1"/>
  <c r="AM506" i="1"/>
  <c r="AJ506" i="1"/>
  <c r="AL506" i="1" s="1"/>
  <c r="AH506" i="1"/>
  <c r="AB506" i="1"/>
  <c r="AD506" i="1" s="1"/>
  <c r="W506" i="1"/>
  <c r="V506" i="1"/>
  <c r="AM505" i="1"/>
  <c r="AJ505" i="1"/>
  <c r="AL505" i="1" s="1"/>
  <c r="AH505" i="1"/>
  <c r="AB505" i="1"/>
  <c r="AD505" i="1" s="1"/>
  <c r="W505" i="1"/>
  <c r="V505" i="1"/>
  <c r="AN504" i="1"/>
  <c r="Z504" i="1" s="1"/>
  <c r="AJ504" i="1"/>
  <c r="AL504" i="1" s="1"/>
  <c r="AH504" i="1"/>
  <c r="AD504" i="1"/>
  <c r="AA504" i="1"/>
  <c r="V504" i="1"/>
  <c r="AN503" i="1"/>
  <c r="Z503" i="1" s="1"/>
  <c r="AJ503" i="1"/>
  <c r="AL503" i="1" s="1"/>
  <c r="AH503" i="1"/>
  <c r="AB503" i="1"/>
  <c r="AA503" i="1"/>
  <c r="V503" i="1"/>
  <c r="AM502" i="1"/>
  <c r="AJ502" i="1"/>
  <c r="AL502" i="1" s="1"/>
  <c r="AH502" i="1"/>
  <c r="AB502" i="1"/>
  <c r="AD502" i="1" s="1"/>
  <c r="W502" i="1"/>
  <c r="V502" i="1"/>
  <c r="AN501" i="1"/>
  <c r="Z501" i="1" s="1"/>
  <c r="AJ501" i="1"/>
  <c r="AL501" i="1" s="1"/>
  <c r="AH501" i="1"/>
  <c r="AB501" i="1"/>
  <c r="Y501" i="1" s="1"/>
  <c r="AA501" i="1"/>
  <c r="V501" i="1"/>
  <c r="AM500" i="1"/>
  <c r="AJ500" i="1"/>
  <c r="AL500" i="1" s="1"/>
  <c r="AH500" i="1"/>
  <c r="AB500" i="1"/>
  <c r="AD500" i="1" s="1"/>
  <c r="W500" i="1"/>
  <c r="V500" i="1"/>
  <c r="AM499" i="1"/>
  <c r="AJ499" i="1"/>
  <c r="AL499" i="1" s="1"/>
  <c r="AB499" i="1"/>
  <c r="AD499" i="1" s="1"/>
  <c r="W499" i="1"/>
  <c r="V499" i="1"/>
  <c r="AD498" i="1"/>
  <c r="W498" i="1"/>
  <c r="AD497" i="1"/>
  <c r="AA497" i="1"/>
  <c r="Z497" i="1"/>
  <c r="AD496" i="1"/>
  <c r="AA496" i="1"/>
  <c r="Z496" i="1"/>
  <c r="O54" i="2" s="1"/>
  <c r="AD495" i="1"/>
  <c r="AA495" i="1"/>
  <c r="Z495" i="1"/>
  <c r="AD494" i="1"/>
  <c r="AA494" i="1"/>
  <c r="Z494" i="1"/>
  <c r="O53" i="2" s="1"/>
  <c r="Q53" i="2" s="1"/>
  <c r="R53" i="2" s="1"/>
  <c r="S53" i="2" s="1"/>
  <c r="AM493" i="1"/>
  <c r="AJ493" i="1"/>
  <c r="AL493" i="1" s="1"/>
  <c r="AH493" i="1"/>
  <c r="AB493" i="1"/>
  <c r="AD493" i="1" s="1"/>
  <c r="W493" i="1"/>
  <c r="V493" i="1"/>
  <c r="AM492" i="1"/>
  <c r="AJ492" i="1"/>
  <c r="AL492" i="1" s="1"/>
  <c r="AH492" i="1"/>
  <c r="AB492" i="1"/>
  <c r="AD492" i="1" s="1"/>
  <c r="W492" i="1"/>
  <c r="V492" i="1"/>
  <c r="AM491" i="1"/>
  <c r="AJ491" i="1"/>
  <c r="AL491" i="1" s="1"/>
  <c r="AH491" i="1"/>
  <c r="AB491" i="1"/>
  <c r="AD491" i="1" s="1"/>
  <c r="W491" i="1"/>
  <c r="V491" i="1"/>
  <c r="AM490" i="1"/>
  <c r="AJ490" i="1"/>
  <c r="AL490" i="1" s="1"/>
  <c r="AH490" i="1"/>
  <c r="AB490" i="1"/>
  <c r="AD490" i="1" s="1"/>
  <c r="W490" i="1"/>
  <c r="V490" i="1"/>
  <c r="AM489" i="1"/>
  <c r="AJ489" i="1"/>
  <c r="AL489" i="1" s="1"/>
  <c r="AH489" i="1"/>
  <c r="AB489" i="1"/>
  <c r="AD489" i="1" s="1"/>
  <c r="W489" i="1"/>
  <c r="V489" i="1"/>
  <c r="AM488" i="1"/>
  <c r="AJ488" i="1"/>
  <c r="AL488" i="1" s="1"/>
  <c r="AH488" i="1"/>
  <c r="AB488" i="1"/>
  <c r="AD488" i="1" s="1"/>
  <c r="W488" i="1"/>
  <c r="V488" i="1"/>
  <c r="AM487" i="1"/>
  <c r="AJ487" i="1"/>
  <c r="AL487" i="1" s="1"/>
  <c r="AH487" i="1"/>
  <c r="AB487" i="1"/>
  <c r="AD487" i="1" s="1"/>
  <c r="W487" i="1"/>
  <c r="V487" i="1"/>
  <c r="AM486" i="1"/>
  <c r="AJ486" i="1"/>
  <c r="AL486" i="1" s="1"/>
  <c r="AH486" i="1"/>
  <c r="AB486" i="1"/>
  <c r="AD486" i="1" s="1"/>
  <c r="W486" i="1"/>
  <c r="V486" i="1"/>
  <c r="AM485" i="1"/>
  <c r="AJ485" i="1"/>
  <c r="AL485" i="1" s="1"/>
  <c r="AH485" i="1"/>
  <c r="AB485" i="1"/>
  <c r="AD485" i="1" s="1"/>
  <c r="W485" i="1"/>
  <c r="V485" i="1"/>
  <c r="AM484" i="1"/>
  <c r="AJ484" i="1"/>
  <c r="AL484" i="1" s="1"/>
  <c r="AH484" i="1"/>
  <c r="AB484" i="1"/>
  <c r="AD484" i="1" s="1"/>
  <c r="W484" i="1"/>
  <c r="V484" i="1"/>
  <c r="AM483" i="1"/>
  <c r="AJ483" i="1"/>
  <c r="AL483" i="1" s="1"/>
  <c r="AH483" i="1"/>
  <c r="AB483" i="1"/>
  <c r="AD483" i="1" s="1"/>
  <c r="W483" i="1"/>
  <c r="V483" i="1"/>
  <c r="AM482" i="1"/>
  <c r="AJ482" i="1"/>
  <c r="AL482" i="1" s="1"/>
  <c r="AH482" i="1"/>
  <c r="AB482" i="1"/>
  <c r="W482" i="1"/>
  <c r="V482" i="1"/>
  <c r="AM481" i="1"/>
  <c r="AJ481" i="1"/>
  <c r="AL481" i="1" s="1"/>
  <c r="AH481" i="1"/>
  <c r="AB481" i="1"/>
  <c r="AD481" i="1" s="1"/>
  <c r="W481" i="1"/>
  <c r="V481" i="1"/>
  <c r="AM480" i="1"/>
  <c r="AJ480" i="1"/>
  <c r="AL480" i="1" s="1"/>
  <c r="AH480" i="1"/>
  <c r="AB480" i="1"/>
  <c r="W480" i="1"/>
  <c r="V480" i="1"/>
  <c r="AM479" i="1"/>
  <c r="AJ479" i="1"/>
  <c r="AL479" i="1" s="1"/>
  <c r="AH479" i="1"/>
  <c r="AB479" i="1"/>
  <c r="AD479" i="1" s="1"/>
  <c r="W479" i="1"/>
  <c r="V479" i="1"/>
  <c r="AM478" i="1"/>
  <c r="AJ478" i="1"/>
  <c r="AL478" i="1" s="1"/>
  <c r="AH478" i="1"/>
  <c r="AB478" i="1"/>
  <c r="AD478" i="1" s="1"/>
  <c r="W478" i="1"/>
  <c r="V478" i="1"/>
  <c r="AM477" i="1"/>
  <c r="AJ477" i="1"/>
  <c r="AL477" i="1" s="1"/>
  <c r="AH477" i="1"/>
  <c r="AB477" i="1"/>
  <c r="AD477" i="1" s="1"/>
  <c r="W477" i="1"/>
  <c r="V477" i="1"/>
  <c r="AM476" i="1"/>
  <c r="AJ476" i="1"/>
  <c r="AL476" i="1" s="1"/>
  <c r="AH476" i="1"/>
  <c r="AB476" i="1"/>
  <c r="AD476" i="1" s="1"/>
  <c r="W476" i="1"/>
  <c r="V476" i="1"/>
  <c r="AM475" i="1"/>
  <c r="AJ475" i="1"/>
  <c r="AL475" i="1" s="1"/>
  <c r="AH475" i="1"/>
  <c r="AB475" i="1"/>
  <c r="AD475" i="1" s="1"/>
  <c r="W475" i="1"/>
  <c r="V475" i="1"/>
  <c r="AM474" i="1"/>
  <c r="AJ474" i="1"/>
  <c r="AL474" i="1" s="1"/>
  <c r="AH474" i="1"/>
  <c r="AB474" i="1"/>
  <c r="W474" i="1"/>
  <c r="V474" i="1"/>
  <c r="AM473" i="1"/>
  <c r="AJ473" i="1"/>
  <c r="AL473" i="1" s="1"/>
  <c r="AH473" i="1"/>
  <c r="AB473" i="1"/>
  <c r="AD473" i="1" s="1"/>
  <c r="W473" i="1"/>
  <c r="V473" i="1"/>
  <c r="AM472" i="1"/>
  <c r="AJ472" i="1"/>
  <c r="AL472" i="1" s="1"/>
  <c r="AH472" i="1"/>
  <c r="AB472" i="1"/>
  <c r="AD472" i="1" s="1"/>
  <c r="W472" i="1"/>
  <c r="V472" i="1"/>
  <c r="AM471" i="1"/>
  <c r="AJ471" i="1"/>
  <c r="AL471" i="1" s="1"/>
  <c r="AH471" i="1"/>
  <c r="AB471" i="1"/>
  <c r="W471" i="1"/>
  <c r="V471" i="1"/>
  <c r="AM470" i="1"/>
  <c r="AJ470" i="1"/>
  <c r="AL470" i="1" s="1"/>
  <c r="AH470" i="1"/>
  <c r="AB470" i="1"/>
  <c r="AD470" i="1" s="1"/>
  <c r="W470" i="1"/>
  <c r="V470" i="1"/>
  <c r="AM469" i="1"/>
  <c r="AJ469" i="1"/>
  <c r="AL469" i="1" s="1"/>
  <c r="AH469" i="1"/>
  <c r="AB469" i="1"/>
  <c r="AD469" i="1" s="1"/>
  <c r="W469" i="1"/>
  <c r="V469" i="1"/>
  <c r="AM468" i="1"/>
  <c r="AJ468" i="1"/>
  <c r="AL468" i="1" s="1"/>
  <c r="AH468" i="1"/>
  <c r="AB468" i="1"/>
  <c r="AD468" i="1" s="1"/>
  <c r="W468" i="1"/>
  <c r="V468" i="1"/>
  <c r="AM467" i="1"/>
  <c r="AJ467" i="1"/>
  <c r="AL467" i="1" s="1"/>
  <c r="AH467" i="1"/>
  <c r="AB467" i="1"/>
  <c r="W467" i="1"/>
  <c r="V467" i="1"/>
  <c r="AM466" i="1"/>
  <c r="AJ466" i="1"/>
  <c r="AL466" i="1" s="1"/>
  <c r="AH466" i="1"/>
  <c r="AB466" i="1"/>
  <c r="AD466" i="1" s="1"/>
  <c r="W466" i="1"/>
  <c r="V466" i="1"/>
  <c r="AM465" i="1"/>
  <c r="AJ465" i="1"/>
  <c r="AL465" i="1" s="1"/>
  <c r="AH465" i="1"/>
  <c r="AB465" i="1"/>
  <c r="AD465" i="1" s="1"/>
  <c r="W465" i="1"/>
  <c r="V465" i="1"/>
  <c r="AM464" i="1"/>
  <c r="AJ464" i="1"/>
  <c r="AL464" i="1" s="1"/>
  <c r="AH464" i="1"/>
  <c r="AB464" i="1"/>
  <c r="AD464" i="1" s="1"/>
  <c r="W464" i="1"/>
  <c r="V464" i="1"/>
  <c r="AM463" i="1"/>
  <c r="AJ463" i="1"/>
  <c r="AL463" i="1" s="1"/>
  <c r="AH463" i="1"/>
  <c r="AB463" i="1"/>
  <c r="AD463" i="1" s="1"/>
  <c r="W463" i="1"/>
  <c r="V463" i="1"/>
  <c r="AM462" i="1"/>
  <c r="AJ462" i="1"/>
  <c r="AL462" i="1" s="1"/>
  <c r="AH462" i="1"/>
  <c r="AB462" i="1"/>
  <c r="AD462" i="1" s="1"/>
  <c r="W462" i="1"/>
  <c r="V462" i="1"/>
  <c r="AM461" i="1"/>
  <c r="AJ461" i="1"/>
  <c r="AL461" i="1" s="1"/>
  <c r="AH461" i="1"/>
  <c r="AB461" i="1"/>
  <c r="AD461" i="1" s="1"/>
  <c r="W461" i="1"/>
  <c r="V461" i="1"/>
  <c r="AM460" i="1"/>
  <c r="AJ460" i="1"/>
  <c r="AL460" i="1" s="1"/>
  <c r="AH460" i="1"/>
  <c r="AB460" i="1"/>
  <c r="AD460" i="1" s="1"/>
  <c r="W460" i="1"/>
  <c r="V460" i="1"/>
  <c r="AM459" i="1"/>
  <c r="AJ459" i="1"/>
  <c r="AL459" i="1" s="1"/>
  <c r="AH459" i="1"/>
  <c r="AB459" i="1"/>
  <c r="W459" i="1"/>
  <c r="V459" i="1"/>
  <c r="AM458" i="1"/>
  <c r="AJ458" i="1"/>
  <c r="AL458" i="1" s="1"/>
  <c r="AH458" i="1"/>
  <c r="AB458" i="1"/>
  <c r="AD458" i="1" s="1"/>
  <c r="W458" i="1"/>
  <c r="V458" i="1"/>
  <c r="AM457" i="1"/>
  <c r="AJ457" i="1"/>
  <c r="AL457" i="1" s="1"/>
  <c r="AH457" i="1"/>
  <c r="AB457" i="1"/>
  <c r="AD457" i="1" s="1"/>
  <c r="W457" i="1"/>
  <c r="V457" i="1"/>
  <c r="AM456" i="1"/>
  <c r="AJ456" i="1"/>
  <c r="AL456" i="1" s="1"/>
  <c r="AH456" i="1"/>
  <c r="AB456" i="1"/>
  <c r="AD456" i="1" s="1"/>
  <c r="W456" i="1"/>
  <c r="V456" i="1"/>
  <c r="AM455" i="1"/>
  <c r="AJ455" i="1"/>
  <c r="AL455" i="1" s="1"/>
  <c r="AH455" i="1"/>
  <c r="AB455" i="1"/>
  <c r="AD455" i="1" s="1"/>
  <c r="W455" i="1"/>
  <c r="V455" i="1"/>
  <c r="AM454" i="1"/>
  <c r="AJ454" i="1"/>
  <c r="AL454" i="1" s="1"/>
  <c r="AH454" i="1"/>
  <c r="AB454" i="1"/>
  <c r="AD454" i="1" s="1"/>
  <c r="W454" i="1"/>
  <c r="V454" i="1"/>
  <c r="AM453" i="1"/>
  <c r="AJ453" i="1"/>
  <c r="AL453" i="1" s="1"/>
  <c r="AH453" i="1"/>
  <c r="AB453" i="1"/>
  <c r="AD453" i="1" s="1"/>
  <c r="W453" i="1"/>
  <c r="V453" i="1"/>
  <c r="AM452" i="1"/>
  <c r="AJ452" i="1"/>
  <c r="AL452" i="1" s="1"/>
  <c r="AH452" i="1"/>
  <c r="AB452" i="1"/>
  <c r="AD452" i="1" s="1"/>
  <c r="W452" i="1"/>
  <c r="V452" i="1"/>
  <c r="AM451" i="1"/>
  <c r="AJ451" i="1"/>
  <c r="AL451" i="1" s="1"/>
  <c r="AH451" i="1"/>
  <c r="AB451" i="1"/>
  <c r="AD451" i="1" s="1"/>
  <c r="W451" i="1"/>
  <c r="V451" i="1"/>
  <c r="AM450" i="1"/>
  <c r="AJ450" i="1"/>
  <c r="AL450" i="1" s="1"/>
  <c r="AH450" i="1"/>
  <c r="AB450" i="1"/>
  <c r="AD450" i="1" s="1"/>
  <c r="W450" i="1"/>
  <c r="V450" i="1"/>
  <c r="AM449" i="1"/>
  <c r="AJ449" i="1"/>
  <c r="AL449" i="1" s="1"/>
  <c r="AH449" i="1"/>
  <c r="AB449" i="1"/>
  <c r="AD449" i="1" s="1"/>
  <c r="W449" i="1"/>
  <c r="V449" i="1"/>
  <c r="AM448" i="1"/>
  <c r="AJ448" i="1"/>
  <c r="AL448" i="1" s="1"/>
  <c r="AH448" i="1"/>
  <c r="AB448" i="1"/>
  <c r="AD448" i="1" s="1"/>
  <c r="W448" i="1"/>
  <c r="V448" i="1"/>
  <c r="AM447" i="1"/>
  <c r="AJ447" i="1"/>
  <c r="AL447" i="1" s="1"/>
  <c r="AH447" i="1"/>
  <c r="AB447" i="1"/>
  <c r="AD447" i="1" s="1"/>
  <c r="W447" i="1"/>
  <c r="V447" i="1"/>
  <c r="AM446" i="1"/>
  <c r="AJ446" i="1"/>
  <c r="AL446" i="1" s="1"/>
  <c r="AH446" i="1"/>
  <c r="AB446" i="1"/>
  <c r="AD446" i="1" s="1"/>
  <c r="W446" i="1"/>
  <c r="V446" i="1"/>
  <c r="AM445" i="1"/>
  <c r="AJ445" i="1"/>
  <c r="AL445" i="1" s="1"/>
  <c r="AH445" i="1"/>
  <c r="AB445" i="1"/>
  <c r="AD445" i="1" s="1"/>
  <c r="W445" i="1"/>
  <c r="V445" i="1"/>
  <c r="AM444" i="1"/>
  <c r="AJ444" i="1"/>
  <c r="AL444" i="1" s="1"/>
  <c r="AH444" i="1"/>
  <c r="AB444" i="1"/>
  <c r="AD444" i="1" s="1"/>
  <c r="W444" i="1"/>
  <c r="V444" i="1"/>
  <c r="AM443" i="1"/>
  <c r="AJ443" i="1"/>
  <c r="AL443" i="1" s="1"/>
  <c r="AH443" i="1"/>
  <c r="AB443" i="1"/>
  <c r="AD443" i="1" s="1"/>
  <c r="W443" i="1"/>
  <c r="V443" i="1"/>
  <c r="AM442" i="1"/>
  <c r="AJ442" i="1"/>
  <c r="AL442" i="1" s="1"/>
  <c r="AH442" i="1"/>
  <c r="AB442" i="1"/>
  <c r="AD442" i="1" s="1"/>
  <c r="W442" i="1"/>
  <c r="V442" i="1"/>
  <c r="AM441" i="1"/>
  <c r="AJ441" i="1"/>
  <c r="AL441" i="1" s="1"/>
  <c r="AH441" i="1"/>
  <c r="AB441" i="1"/>
  <c r="AD441" i="1" s="1"/>
  <c r="W441" i="1"/>
  <c r="V441" i="1"/>
  <c r="AN440" i="1"/>
  <c r="Z440" i="1" s="1"/>
  <c r="AJ440" i="1"/>
  <c r="AL440" i="1" s="1"/>
  <c r="AH440" i="1"/>
  <c r="AD440" i="1"/>
  <c r="AA440" i="1"/>
  <c r="V440" i="1"/>
  <c r="AM439" i="1"/>
  <c r="AN439" i="1" s="1"/>
  <c r="Z439" i="1" s="1"/>
  <c r="AJ439" i="1"/>
  <c r="AL439" i="1" s="1"/>
  <c r="AH439" i="1"/>
  <c r="AD439" i="1"/>
  <c r="AA439" i="1"/>
  <c r="V439" i="1"/>
  <c r="AM438" i="1"/>
  <c r="AN438" i="1" s="1"/>
  <c r="Z438" i="1" s="1"/>
  <c r="AJ438" i="1"/>
  <c r="AL438" i="1" s="1"/>
  <c r="AH438" i="1"/>
  <c r="AB438" i="1"/>
  <c r="Y438" i="1" s="1"/>
  <c r="AA438" i="1"/>
  <c r="V438" i="1"/>
  <c r="AM437" i="1"/>
  <c r="AJ437" i="1"/>
  <c r="AL437" i="1" s="1"/>
  <c r="AH437" i="1"/>
  <c r="AB437" i="1"/>
  <c r="AD437" i="1" s="1"/>
  <c r="W437" i="1"/>
  <c r="V437" i="1"/>
  <c r="AM436" i="1"/>
  <c r="AJ436" i="1"/>
  <c r="AL436" i="1" s="1"/>
  <c r="AH436" i="1"/>
  <c r="AB436" i="1"/>
  <c r="AD436" i="1" s="1"/>
  <c r="W436" i="1"/>
  <c r="V436" i="1"/>
  <c r="AB435" i="1"/>
  <c r="W435" i="1"/>
  <c r="AB434" i="1"/>
  <c r="W434" i="1"/>
  <c r="AB433" i="1"/>
  <c r="W433" i="1"/>
  <c r="AB432" i="1"/>
  <c r="W432" i="1"/>
  <c r="AB431" i="1"/>
  <c r="W431" i="1"/>
  <c r="AB430" i="1"/>
  <c r="W430" i="1"/>
  <c r="AB429" i="1"/>
  <c r="W429" i="1"/>
  <c r="AA428" i="1"/>
  <c r="Z428" i="1"/>
  <c r="O49" i="2" s="1"/>
  <c r="Q49" i="2" s="1"/>
  <c r="R49" i="2" s="1"/>
  <c r="S49" i="2" s="1"/>
  <c r="AD427" i="1"/>
  <c r="AA427" i="1"/>
  <c r="Z427" i="1"/>
  <c r="AD426" i="1"/>
  <c r="AA426" i="1"/>
  <c r="Z426" i="1"/>
  <c r="AD425" i="1"/>
  <c r="AA425" i="1"/>
  <c r="Z425" i="1"/>
  <c r="O48" i="2" s="1"/>
  <c r="Q48" i="2" s="1"/>
  <c r="R48" i="2" s="1"/>
  <c r="S48" i="2" s="1"/>
  <c r="AM424" i="1"/>
  <c r="AJ424" i="1"/>
  <c r="AL424" i="1" s="1"/>
  <c r="AH424" i="1"/>
  <c r="AB424" i="1"/>
  <c r="W424" i="1"/>
  <c r="V424" i="1"/>
  <c r="AM423" i="1"/>
  <c r="AH423" i="1"/>
  <c r="AB423" i="1"/>
  <c r="W423" i="1"/>
  <c r="V423" i="1"/>
  <c r="AM422" i="1"/>
  <c r="AJ422" i="1"/>
  <c r="AL422" i="1" s="1"/>
  <c r="AH422" i="1"/>
  <c r="AB422" i="1"/>
  <c r="W422" i="1"/>
  <c r="V422" i="1"/>
  <c r="AM421" i="1"/>
  <c r="AJ421" i="1"/>
  <c r="AL421" i="1" s="1"/>
  <c r="AH421" i="1"/>
  <c r="AB421" i="1"/>
  <c r="W421" i="1"/>
  <c r="V421" i="1"/>
  <c r="AM420" i="1"/>
  <c r="AJ420" i="1"/>
  <c r="AL420" i="1" s="1"/>
  <c r="AH420" i="1"/>
  <c r="AB420" i="1"/>
  <c r="W420" i="1"/>
  <c r="V420" i="1"/>
  <c r="AM419" i="1"/>
  <c r="AJ419" i="1"/>
  <c r="AL419" i="1" s="1"/>
  <c r="AH419" i="1"/>
  <c r="AB419" i="1"/>
  <c r="W419" i="1"/>
  <c r="V419" i="1"/>
  <c r="AM418" i="1"/>
  <c r="AJ418" i="1"/>
  <c r="AL418" i="1" s="1"/>
  <c r="AH418" i="1"/>
  <c r="AB418" i="1"/>
  <c r="W418" i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V410" i="1"/>
  <c r="AM409" i="1"/>
  <c r="AJ409" i="1"/>
  <c r="AL409" i="1" s="1"/>
  <c r="AH409" i="1"/>
  <c r="AB409" i="1"/>
  <c r="W409" i="1"/>
  <c r="V409" i="1"/>
  <c r="AM408" i="1"/>
  <c r="AJ408" i="1"/>
  <c r="AL408" i="1" s="1"/>
  <c r="AH408" i="1"/>
  <c r="AB408" i="1"/>
  <c r="W408" i="1"/>
  <c r="V408" i="1"/>
  <c r="AM407" i="1"/>
  <c r="AJ407" i="1"/>
  <c r="AL407" i="1" s="1"/>
  <c r="AH407" i="1"/>
  <c r="AB407" i="1"/>
  <c r="W407" i="1"/>
  <c r="V407" i="1"/>
  <c r="AM406" i="1"/>
  <c r="AJ406" i="1"/>
  <c r="AL406" i="1" s="1"/>
  <c r="AH406" i="1"/>
  <c r="AB406" i="1"/>
  <c r="W406" i="1"/>
  <c r="V406" i="1"/>
  <c r="AM405" i="1"/>
  <c r="AJ405" i="1"/>
  <c r="AL405" i="1" s="1"/>
  <c r="AH405" i="1"/>
  <c r="AB405" i="1"/>
  <c r="W405" i="1"/>
  <c r="V405" i="1"/>
  <c r="AM404" i="1"/>
  <c r="AJ404" i="1"/>
  <c r="AL404" i="1" s="1"/>
  <c r="AH404" i="1"/>
  <c r="AB404" i="1"/>
  <c r="W404" i="1"/>
  <c r="V404" i="1"/>
  <c r="AM403" i="1"/>
  <c r="AJ403" i="1"/>
  <c r="AL403" i="1" s="1"/>
  <c r="AH403" i="1"/>
  <c r="AB403" i="1"/>
  <c r="W403" i="1"/>
  <c r="V403" i="1"/>
  <c r="AM402" i="1"/>
  <c r="AJ402" i="1"/>
  <c r="AL402" i="1" s="1"/>
  <c r="AH402" i="1"/>
  <c r="AB402" i="1"/>
  <c r="W402" i="1"/>
  <c r="V402" i="1"/>
  <c r="AM401" i="1"/>
  <c r="AJ401" i="1"/>
  <c r="AL401" i="1" s="1"/>
  <c r="AH401" i="1"/>
  <c r="AB401" i="1"/>
  <c r="W401" i="1"/>
  <c r="V401" i="1"/>
  <c r="AM400" i="1"/>
  <c r="AJ400" i="1"/>
  <c r="AL400" i="1" s="1"/>
  <c r="AH400" i="1"/>
  <c r="AB400" i="1"/>
  <c r="W400" i="1"/>
  <c r="V400" i="1"/>
  <c r="AM399" i="1"/>
  <c r="AJ399" i="1"/>
  <c r="AL399" i="1" s="1"/>
  <c r="AH399" i="1"/>
  <c r="AB399" i="1"/>
  <c r="W399" i="1"/>
  <c r="V399" i="1"/>
  <c r="AM398" i="1"/>
  <c r="AJ398" i="1"/>
  <c r="AL398" i="1" s="1"/>
  <c r="AH398" i="1"/>
  <c r="AB398" i="1"/>
  <c r="W398" i="1"/>
  <c r="V398" i="1"/>
  <c r="AM397" i="1"/>
  <c r="AJ397" i="1"/>
  <c r="AL397" i="1" s="1"/>
  <c r="AH397" i="1"/>
  <c r="AB397" i="1"/>
  <c r="W397" i="1"/>
  <c r="V397" i="1"/>
  <c r="AM396" i="1"/>
  <c r="AJ396" i="1"/>
  <c r="AL396" i="1" s="1"/>
  <c r="AH396" i="1"/>
  <c r="AB396" i="1"/>
  <c r="W396" i="1"/>
  <c r="V396" i="1"/>
  <c r="AM395" i="1"/>
  <c r="AJ395" i="1"/>
  <c r="AL395" i="1" s="1"/>
  <c r="AH395" i="1"/>
  <c r="AB395" i="1"/>
  <c r="W395" i="1"/>
  <c r="V395" i="1"/>
  <c r="AM394" i="1"/>
  <c r="AJ394" i="1"/>
  <c r="AL394" i="1" s="1"/>
  <c r="AH394" i="1"/>
  <c r="AB394" i="1"/>
  <c r="W394" i="1"/>
  <c r="V394" i="1"/>
  <c r="AM393" i="1"/>
  <c r="AJ393" i="1"/>
  <c r="AL393" i="1" s="1"/>
  <c r="AH393" i="1"/>
  <c r="AB393" i="1"/>
  <c r="W393" i="1"/>
  <c r="V393" i="1"/>
  <c r="AM392" i="1"/>
  <c r="AJ392" i="1"/>
  <c r="AL392" i="1" s="1"/>
  <c r="AH392" i="1"/>
  <c r="AB392" i="1"/>
  <c r="W392" i="1"/>
  <c r="V392" i="1"/>
  <c r="AM391" i="1"/>
  <c r="AJ391" i="1"/>
  <c r="AL391" i="1" s="1"/>
  <c r="AH391" i="1"/>
  <c r="AB391" i="1"/>
  <c r="W391" i="1"/>
  <c r="V391" i="1"/>
  <c r="AM390" i="1"/>
  <c r="AJ390" i="1"/>
  <c r="AL390" i="1" s="1"/>
  <c r="AH390" i="1"/>
  <c r="AB390" i="1"/>
  <c r="W390" i="1"/>
  <c r="V390" i="1"/>
  <c r="AM389" i="1"/>
  <c r="AJ389" i="1"/>
  <c r="AL389" i="1" s="1"/>
  <c r="AH389" i="1"/>
  <c r="AB389" i="1"/>
  <c r="W389" i="1"/>
  <c r="V389" i="1"/>
  <c r="AM388" i="1"/>
  <c r="AJ388" i="1"/>
  <c r="AL388" i="1" s="1"/>
  <c r="AH388" i="1"/>
  <c r="AB388" i="1"/>
  <c r="W388" i="1"/>
  <c r="V388" i="1"/>
  <c r="AM387" i="1"/>
  <c r="AJ387" i="1"/>
  <c r="AL387" i="1" s="1"/>
  <c r="AH387" i="1"/>
  <c r="AB387" i="1"/>
  <c r="W387" i="1"/>
  <c r="V387" i="1"/>
  <c r="AM386" i="1"/>
  <c r="AJ386" i="1"/>
  <c r="AL386" i="1" s="1"/>
  <c r="AH386" i="1"/>
  <c r="AB386" i="1"/>
  <c r="W386" i="1"/>
  <c r="V386" i="1"/>
  <c r="AM385" i="1"/>
  <c r="AJ385" i="1"/>
  <c r="AL385" i="1" s="1"/>
  <c r="AH385" i="1"/>
  <c r="AB385" i="1"/>
  <c r="W385" i="1"/>
  <c r="V385" i="1"/>
  <c r="AM384" i="1"/>
  <c r="AJ384" i="1"/>
  <c r="AL384" i="1" s="1"/>
  <c r="AH384" i="1"/>
  <c r="AB384" i="1"/>
  <c r="W384" i="1"/>
  <c r="V384" i="1"/>
  <c r="AM383" i="1"/>
  <c r="AJ383" i="1"/>
  <c r="AL383" i="1" s="1"/>
  <c r="AH383" i="1"/>
  <c r="AB383" i="1"/>
  <c r="W383" i="1"/>
  <c r="V383" i="1"/>
  <c r="AM382" i="1"/>
  <c r="AJ382" i="1"/>
  <c r="AL382" i="1" s="1"/>
  <c r="AH382" i="1"/>
  <c r="AB382" i="1"/>
  <c r="W382" i="1"/>
  <c r="V382" i="1"/>
  <c r="AM381" i="1"/>
  <c r="AJ381" i="1"/>
  <c r="AL381" i="1" s="1"/>
  <c r="AH381" i="1"/>
  <c r="AB381" i="1"/>
  <c r="W381" i="1"/>
  <c r="V381" i="1"/>
  <c r="AM380" i="1"/>
  <c r="AJ380" i="1"/>
  <c r="AL380" i="1" s="1"/>
  <c r="AH380" i="1"/>
  <c r="AB380" i="1"/>
  <c r="W380" i="1"/>
  <c r="V380" i="1"/>
  <c r="AM379" i="1"/>
  <c r="AJ379" i="1"/>
  <c r="AL379" i="1" s="1"/>
  <c r="AH379" i="1"/>
  <c r="AB379" i="1"/>
  <c r="W379" i="1"/>
  <c r="V379" i="1"/>
  <c r="AM378" i="1"/>
  <c r="AJ378" i="1"/>
  <c r="AL378" i="1" s="1"/>
  <c r="AH378" i="1"/>
  <c r="AB378" i="1"/>
  <c r="W378" i="1"/>
  <c r="V378" i="1"/>
  <c r="AM377" i="1"/>
  <c r="AJ377" i="1"/>
  <c r="AL377" i="1" s="1"/>
  <c r="AH377" i="1"/>
  <c r="AB377" i="1"/>
  <c r="W377" i="1"/>
  <c r="V377" i="1"/>
  <c r="AM376" i="1"/>
  <c r="AJ376" i="1"/>
  <c r="AL376" i="1" s="1"/>
  <c r="AH376" i="1"/>
  <c r="AB376" i="1"/>
  <c r="W376" i="1"/>
  <c r="V376" i="1"/>
  <c r="AM375" i="1"/>
  <c r="AJ375" i="1"/>
  <c r="AL375" i="1" s="1"/>
  <c r="AH375" i="1"/>
  <c r="AB375" i="1"/>
  <c r="W375" i="1"/>
  <c r="V375" i="1"/>
  <c r="AM374" i="1"/>
  <c r="AJ374" i="1"/>
  <c r="AL374" i="1" s="1"/>
  <c r="AH374" i="1"/>
  <c r="AB374" i="1"/>
  <c r="W374" i="1"/>
  <c r="V374" i="1"/>
  <c r="AM373" i="1"/>
  <c r="AJ373" i="1"/>
  <c r="AL373" i="1" s="1"/>
  <c r="AH373" i="1"/>
  <c r="AB373" i="1"/>
  <c r="W373" i="1"/>
  <c r="V373" i="1"/>
  <c r="AM372" i="1"/>
  <c r="AJ372" i="1"/>
  <c r="AL372" i="1" s="1"/>
  <c r="AH372" i="1"/>
  <c r="AB372" i="1"/>
  <c r="W372" i="1"/>
  <c r="V372" i="1"/>
  <c r="AM371" i="1"/>
  <c r="AJ371" i="1"/>
  <c r="AL371" i="1" s="1"/>
  <c r="AH371" i="1"/>
  <c r="AB371" i="1"/>
  <c r="W371" i="1"/>
  <c r="V371" i="1"/>
  <c r="AN370" i="1"/>
  <c r="Z370" i="1" s="1"/>
  <c r="AJ370" i="1"/>
  <c r="AL370" i="1" s="1"/>
  <c r="AH370" i="1"/>
  <c r="AA370" i="1"/>
  <c r="V370" i="1"/>
  <c r="AN369" i="1"/>
  <c r="Z369" i="1" s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V368" i="1"/>
  <c r="AM367" i="1"/>
  <c r="AJ367" i="1"/>
  <c r="AH367" i="1"/>
  <c r="AB367" i="1"/>
  <c r="Y367" i="1" s="1"/>
  <c r="AA367" i="1"/>
  <c r="Z367" i="1"/>
  <c r="V367" i="1"/>
  <c r="AM366" i="1"/>
  <c r="AJ366" i="1"/>
  <c r="AL366" i="1" s="1"/>
  <c r="AH366" i="1"/>
  <c r="AB366" i="1"/>
  <c r="W366" i="1"/>
  <c r="V366" i="1"/>
  <c r="AM365" i="1"/>
  <c r="AJ365" i="1"/>
  <c r="AL365" i="1" s="1"/>
  <c r="AH365" i="1"/>
  <c r="AB365" i="1"/>
  <c r="W365" i="1"/>
  <c r="V365" i="1"/>
  <c r="AA364" i="1"/>
  <c r="Z364" i="1"/>
  <c r="V364" i="1"/>
  <c r="AA363" i="1"/>
  <c r="Z363" i="1"/>
  <c r="O43" i="2" s="1"/>
  <c r="Q43" i="2" s="1"/>
  <c r="R43" i="2" s="1"/>
  <c r="S43" i="2" s="1"/>
  <c r="AA362" i="1"/>
  <c r="Z362" i="1"/>
  <c r="AA361" i="1"/>
  <c r="Z361" i="1"/>
  <c r="AA360" i="1"/>
  <c r="Z360" i="1"/>
  <c r="AA359" i="1"/>
  <c r="Z359" i="1"/>
  <c r="AD358" i="1"/>
  <c r="W358" i="1"/>
  <c r="Y358" i="1" s="1"/>
  <c r="AD357" i="1"/>
  <c r="AA357" i="1"/>
  <c r="X357" i="1"/>
  <c r="Z357" i="1" s="1"/>
  <c r="AD356" i="1"/>
  <c r="W356" i="1"/>
  <c r="Y356" i="1" s="1"/>
  <c r="V356" i="1"/>
  <c r="L356" i="1"/>
  <c r="AD355" i="1"/>
  <c r="AA355" i="1"/>
  <c r="Z355" i="1"/>
  <c r="O41" i="2" s="1"/>
  <c r="Q41" i="2" s="1"/>
  <c r="R41" i="2" s="1"/>
  <c r="S41" i="2" s="1"/>
  <c r="V355" i="1"/>
  <c r="AD354" i="1"/>
  <c r="AA354" i="1"/>
  <c r="Z354" i="1"/>
  <c r="O40" i="2" s="1"/>
  <c r="V354" i="1"/>
  <c r="AD353" i="1"/>
  <c r="W353" i="1"/>
  <c r="Y353" i="1" s="1"/>
  <c r="AM352" i="1"/>
  <c r="AJ352" i="1"/>
  <c r="AL352" i="1" s="1"/>
  <c r="AH352" i="1"/>
  <c r="AB352" i="1"/>
  <c r="W352" i="1"/>
  <c r="V352" i="1"/>
  <c r="AM351" i="1"/>
  <c r="AJ351" i="1"/>
  <c r="AL351" i="1" s="1"/>
  <c r="AH351" i="1"/>
  <c r="AB351" i="1"/>
  <c r="W351" i="1"/>
  <c r="V351" i="1"/>
  <c r="AM350" i="1"/>
  <c r="AJ350" i="1"/>
  <c r="AL350" i="1" s="1"/>
  <c r="AH350" i="1"/>
  <c r="AB350" i="1"/>
  <c r="W350" i="1"/>
  <c r="V350" i="1"/>
  <c r="AM349" i="1"/>
  <c r="AJ349" i="1"/>
  <c r="AL349" i="1" s="1"/>
  <c r="AH349" i="1"/>
  <c r="AB349" i="1"/>
  <c r="W349" i="1"/>
  <c r="V349" i="1"/>
  <c r="AM348" i="1"/>
  <c r="AJ348" i="1"/>
  <c r="AL348" i="1" s="1"/>
  <c r="AH348" i="1"/>
  <c r="AB348" i="1"/>
  <c r="W348" i="1"/>
  <c r="V348" i="1"/>
  <c r="AM347" i="1"/>
  <c r="AJ347" i="1"/>
  <c r="AL347" i="1" s="1"/>
  <c r="AH347" i="1"/>
  <c r="AB347" i="1"/>
  <c r="W347" i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V345" i="1"/>
  <c r="AM344" i="1"/>
  <c r="AJ344" i="1"/>
  <c r="AL344" i="1" s="1"/>
  <c r="AH344" i="1"/>
  <c r="AB344" i="1"/>
  <c r="W344" i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V342" i="1"/>
  <c r="AM341" i="1"/>
  <c r="AJ341" i="1"/>
  <c r="AL341" i="1" s="1"/>
  <c r="AH341" i="1"/>
  <c r="AB341" i="1"/>
  <c r="W341" i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V339" i="1"/>
  <c r="AM338" i="1"/>
  <c r="AJ338" i="1"/>
  <c r="AL338" i="1" s="1"/>
  <c r="AH338" i="1"/>
  <c r="AB338" i="1"/>
  <c r="W338" i="1"/>
  <c r="V338" i="1"/>
  <c r="AM337" i="1"/>
  <c r="AJ337" i="1"/>
  <c r="AL337" i="1" s="1"/>
  <c r="AH337" i="1"/>
  <c r="AB337" i="1"/>
  <c r="W337" i="1"/>
  <c r="V337" i="1"/>
  <c r="AM336" i="1"/>
  <c r="AJ336" i="1"/>
  <c r="AL336" i="1" s="1"/>
  <c r="AH336" i="1"/>
  <c r="AB336" i="1"/>
  <c r="W336" i="1"/>
  <c r="V336" i="1"/>
  <c r="AM335" i="1"/>
  <c r="AJ335" i="1"/>
  <c r="AL335" i="1" s="1"/>
  <c r="AH335" i="1"/>
  <c r="AB335" i="1"/>
  <c r="W335" i="1"/>
  <c r="V335" i="1"/>
  <c r="AM334" i="1"/>
  <c r="AJ334" i="1"/>
  <c r="AL334" i="1" s="1"/>
  <c r="AH334" i="1"/>
  <c r="AB334" i="1"/>
  <c r="W334" i="1"/>
  <c r="V334" i="1"/>
  <c r="AM333" i="1"/>
  <c r="AJ333" i="1"/>
  <c r="AL333" i="1" s="1"/>
  <c r="AH333" i="1"/>
  <c r="AB333" i="1"/>
  <c r="W333" i="1"/>
  <c r="V333" i="1"/>
  <c r="AM332" i="1"/>
  <c r="AJ332" i="1"/>
  <c r="AL332" i="1" s="1"/>
  <c r="AH332" i="1"/>
  <c r="AB332" i="1"/>
  <c r="W332" i="1"/>
  <c r="V332" i="1"/>
  <c r="AM331" i="1"/>
  <c r="AJ331" i="1"/>
  <c r="AL331" i="1" s="1"/>
  <c r="AH331" i="1"/>
  <c r="AB331" i="1"/>
  <c r="W331" i="1"/>
  <c r="V331" i="1"/>
  <c r="AM330" i="1"/>
  <c r="AJ330" i="1"/>
  <c r="AL330" i="1" s="1"/>
  <c r="AH330" i="1"/>
  <c r="AB330" i="1"/>
  <c r="W330" i="1"/>
  <c r="V330" i="1"/>
  <c r="AM329" i="1"/>
  <c r="AJ329" i="1"/>
  <c r="AL329" i="1" s="1"/>
  <c r="AH329" i="1"/>
  <c r="AB329" i="1"/>
  <c r="W329" i="1"/>
  <c r="V329" i="1"/>
  <c r="AM328" i="1"/>
  <c r="AJ328" i="1"/>
  <c r="AL328" i="1" s="1"/>
  <c r="AH328" i="1"/>
  <c r="AB328" i="1"/>
  <c r="W328" i="1"/>
  <c r="V328" i="1"/>
  <c r="AM327" i="1"/>
  <c r="AJ327" i="1"/>
  <c r="AL327" i="1" s="1"/>
  <c r="AH327" i="1"/>
  <c r="AB327" i="1"/>
  <c r="W327" i="1"/>
  <c r="V327" i="1"/>
  <c r="AM326" i="1"/>
  <c r="AJ326" i="1"/>
  <c r="AL326" i="1" s="1"/>
  <c r="AH326" i="1"/>
  <c r="AB326" i="1"/>
  <c r="W326" i="1"/>
  <c r="V326" i="1"/>
  <c r="AM325" i="1"/>
  <c r="AJ325" i="1"/>
  <c r="AL325" i="1" s="1"/>
  <c r="AH325" i="1"/>
  <c r="AB325" i="1"/>
  <c r="W325" i="1"/>
  <c r="V325" i="1"/>
  <c r="AM324" i="1"/>
  <c r="AJ324" i="1"/>
  <c r="AL324" i="1" s="1"/>
  <c r="AH324" i="1"/>
  <c r="AB324" i="1"/>
  <c r="W324" i="1"/>
  <c r="V324" i="1"/>
  <c r="AM323" i="1"/>
  <c r="AJ323" i="1"/>
  <c r="AL323" i="1" s="1"/>
  <c r="AH323" i="1"/>
  <c r="AB323" i="1"/>
  <c r="W323" i="1"/>
  <c r="V323" i="1"/>
  <c r="AM322" i="1"/>
  <c r="AJ322" i="1"/>
  <c r="AL322" i="1" s="1"/>
  <c r="AH322" i="1"/>
  <c r="AB322" i="1"/>
  <c r="W322" i="1"/>
  <c r="V322" i="1"/>
  <c r="AM321" i="1"/>
  <c r="AJ321" i="1"/>
  <c r="AL321" i="1" s="1"/>
  <c r="AH321" i="1"/>
  <c r="AB321" i="1"/>
  <c r="W321" i="1"/>
  <c r="V321" i="1"/>
  <c r="AM320" i="1"/>
  <c r="AJ320" i="1"/>
  <c r="AL320" i="1" s="1"/>
  <c r="AH320" i="1"/>
  <c r="AB320" i="1"/>
  <c r="W320" i="1"/>
  <c r="V320" i="1"/>
  <c r="AM319" i="1"/>
  <c r="AJ319" i="1"/>
  <c r="AL319" i="1" s="1"/>
  <c r="AH319" i="1"/>
  <c r="AB319" i="1"/>
  <c r="W319" i="1"/>
  <c r="V319" i="1"/>
  <c r="AM318" i="1"/>
  <c r="AJ318" i="1"/>
  <c r="AL318" i="1" s="1"/>
  <c r="AH318" i="1"/>
  <c r="AB318" i="1"/>
  <c r="W318" i="1"/>
  <c r="V318" i="1"/>
  <c r="AM317" i="1"/>
  <c r="AJ317" i="1"/>
  <c r="AL317" i="1" s="1"/>
  <c r="AH317" i="1"/>
  <c r="AB317" i="1"/>
  <c r="W317" i="1"/>
  <c r="V317" i="1"/>
  <c r="AM316" i="1"/>
  <c r="AJ316" i="1"/>
  <c r="AL316" i="1" s="1"/>
  <c r="AH316" i="1"/>
  <c r="AB316" i="1"/>
  <c r="W316" i="1"/>
  <c r="V316" i="1"/>
  <c r="AM315" i="1"/>
  <c r="AJ315" i="1"/>
  <c r="AL315" i="1" s="1"/>
  <c r="AH315" i="1"/>
  <c r="AB315" i="1"/>
  <c r="W315" i="1"/>
  <c r="V315" i="1"/>
  <c r="AM314" i="1"/>
  <c r="AJ314" i="1"/>
  <c r="AL314" i="1" s="1"/>
  <c r="AH314" i="1"/>
  <c r="AB314" i="1"/>
  <c r="W314" i="1"/>
  <c r="V314" i="1"/>
  <c r="AM313" i="1"/>
  <c r="AJ313" i="1"/>
  <c r="AL313" i="1" s="1"/>
  <c r="AH313" i="1"/>
  <c r="AB313" i="1"/>
  <c r="W313" i="1"/>
  <c r="V313" i="1"/>
  <c r="AM312" i="1"/>
  <c r="AJ312" i="1"/>
  <c r="AL312" i="1" s="1"/>
  <c r="AH312" i="1"/>
  <c r="AB312" i="1"/>
  <c r="W312" i="1"/>
  <c r="V312" i="1"/>
  <c r="AM311" i="1"/>
  <c r="AJ311" i="1"/>
  <c r="AL311" i="1" s="1"/>
  <c r="AH311" i="1"/>
  <c r="AB311" i="1"/>
  <c r="W311" i="1"/>
  <c r="V311" i="1"/>
  <c r="AM310" i="1"/>
  <c r="AJ310" i="1"/>
  <c r="AL310" i="1" s="1"/>
  <c r="AH310" i="1"/>
  <c r="AB310" i="1"/>
  <c r="W310" i="1"/>
  <c r="V310" i="1"/>
  <c r="AM309" i="1"/>
  <c r="AJ309" i="1"/>
  <c r="AL309" i="1" s="1"/>
  <c r="AH309" i="1"/>
  <c r="AB309" i="1"/>
  <c r="W309" i="1"/>
  <c r="V309" i="1"/>
  <c r="AM308" i="1"/>
  <c r="AJ308" i="1"/>
  <c r="AL308" i="1" s="1"/>
  <c r="AH308" i="1"/>
  <c r="AB308" i="1"/>
  <c r="W308" i="1"/>
  <c r="V308" i="1"/>
  <c r="AM307" i="1"/>
  <c r="AJ307" i="1"/>
  <c r="AL307" i="1" s="1"/>
  <c r="AH307" i="1"/>
  <c r="AB307" i="1"/>
  <c r="W307" i="1"/>
  <c r="V307" i="1"/>
  <c r="AM306" i="1"/>
  <c r="AJ306" i="1"/>
  <c r="AL306" i="1" s="1"/>
  <c r="AH306" i="1"/>
  <c r="AB306" i="1"/>
  <c r="W306" i="1"/>
  <c r="V306" i="1"/>
  <c r="AM305" i="1"/>
  <c r="AJ305" i="1"/>
  <c r="AL305" i="1" s="1"/>
  <c r="AH305" i="1"/>
  <c r="AB305" i="1"/>
  <c r="W305" i="1"/>
  <c r="V305" i="1"/>
  <c r="AM304" i="1"/>
  <c r="AJ304" i="1"/>
  <c r="AL304" i="1" s="1"/>
  <c r="AH304" i="1"/>
  <c r="AB304" i="1"/>
  <c r="W304" i="1"/>
  <c r="V304" i="1"/>
  <c r="AM303" i="1"/>
  <c r="AJ303" i="1"/>
  <c r="AL303" i="1" s="1"/>
  <c r="AH303" i="1"/>
  <c r="AB303" i="1"/>
  <c r="W303" i="1"/>
  <c r="V303" i="1"/>
  <c r="AN302" i="1"/>
  <c r="Z302" i="1" s="1"/>
  <c r="AJ302" i="1"/>
  <c r="AL302" i="1" s="1"/>
  <c r="AH302" i="1"/>
  <c r="AA302" i="1"/>
  <c r="V302" i="1"/>
  <c r="AN301" i="1"/>
  <c r="Z301" i="1" s="1"/>
  <c r="AJ301" i="1"/>
  <c r="AL301" i="1" s="1"/>
  <c r="AH301" i="1"/>
  <c r="AA301" i="1"/>
  <c r="V301" i="1"/>
  <c r="AM300" i="1"/>
  <c r="AN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V299" i="1"/>
  <c r="AM298" i="1"/>
  <c r="AJ298" i="1"/>
  <c r="AL298" i="1" s="1"/>
  <c r="AH298" i="1"/>
  <c r="AB298" i="1"/>
  <c r="W298" i="1"/>
  <c r="V298" i="1"/>
  <c r="AM297" i="1"/>
  <c r="AJ297" i="1"/>
  <c r="AL297" i="1" s="1"/>
  <c r="AH297" i="1"/>
  <c r="AB297" i="1"/>
  <c r="W297" i="1"/>
  <c r="V297" i="1"/>
  <c r="AM296" i="1"/>
  <c r="AJ296" i="1"/>
  <c r="AL296" i="1" s="1"/>
  <c r="AH296" i="1"/>
  <c r="AB296" i="1"/>
  <c r="W296" i="1"/>
  <c r="V296" i="1"/>
  <c r="AM295" i="1"/>
  <c r="AJ295" i="1"/>
  <c r="AL295" i="1" s="1"/>
  <c r="AH295" i="1"/>
  <c r="AB295" i="1"/>
  <c r="W295" i="1"/>
  <c r="V295" i="1"/>
  <c r="AM294" i="1"/>
  <c r="AJ294" i="1"/>
  <c r="AL294" i="1" s="1"/>
  <c r="AH294" i="1"/>
  <c r="AB294" i="1"/>
  <c r="W294" i="1"/>
  <c r="V294" i="1"/>
  <c r="AM293" i="1"/>
  <c r="AJ293" i="1"/>
  <c r="AL293" i="1" s="1"/>
  <c r="AH293" i="1"/>
  <c r="AB293" i="1"/>
  <c r="W293" i="1"/>
  <c r="V293" i="1"/>
  <c r="AH292" i="1"/>
  <c r="AD292" i="1"/>
  <c r="W292" i="1"/>
  <c r="AH291" i="1"/>
  <c r="AD291" i="1"/>
  <c r="W291" i="1"/>
  <c r="V291" i="1"/>
  <c r="AH290" i="1"/>
  <c r="AD290" i="1"/>
  <c r="W290" i="1"/>
  <c r="Y290" i="1" s="1"/>
  <c r="AH289" i="1"/>
  <c r="AD289" i="1"/>
  <c r="AA289" i="1"/>
  <c r="Z289" i="1"/>
  <c r="O35" i="2" s="1"/>
  <c r="AH288" i="1"/>
  <c r="AD288" i="1"/>
  <c r="AA288" i="1"/>
  <c r="Z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V284" i="1"/>
  <c r="AM283" i="1"/>
  <c r="AJ283" i="1"/>
  <c r="AL283" i="1" s="1"/>
  <c r="AH283" i="1"/>
  <c r="AB283" i="1"/>
  <c r="W283" i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V281" i="1"/>
  <c r="AM280" i="1"/>
  <c r="AJ280" i="1"/>
  <c r="AL280" i="1" s="1"/>
  <c r="AH280" i="1"/>
  <c r="AB280" i="1"/>
  <c r="W280" i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V278" i="1"/>
  <c r="AM277" i="1"/>
  <c r="AJ277" i="1"/>
  <c r="AL277" i="1" s="1"/>
  <c r="AH277" i="1"/>
  <c r="AB277" i="1"/>
  <c r="W277" i="1"/>
  <c r="V277" i="1"/>
  <c r="AM276" i="1"/>
  <c r="AJ276" i="1"/>
  <c r="AL276" i="1" s="1"/>
  <c r="AH276" i="1"/>
  <c r="AB276" i="1"/>
  <c r="W276" i="1"/>
  <c r="V276" i="1"/>
  <c r="AM275" i="1"/>
  <c r="AJ275" i="1"/>
  <c r="AL275" i="1" s="1"/>
  <c r="AH275" i="1"/>
  <c r="AB275" i="1"/>
  <c r="W275" i="1"/>
  <c r="V275" i="1"/>
  <c r="AM274" i="1"/>
  <c r="AJ274" i="1"/>
  <c r="AL274" i="1" s="1"/>
  <c r="AH274" i="1"/>
  <c r="AB274" i="1"/>
  <c r="W274" i="1"/>
  <c r="V274" i="1"/>
  <c r="AM273" i="1"/>
  <c r="AJ273" i="1"/>
  <c r="AL273" i="1" s="1"/>
  <c r="AH273" i="1"/>
  <c r="AB273" i="1"/>
  <c r="W273" i="1"/>
  <c r="V273" i="1"/>
  <c r="AM272" i="1"/>
  <c r="AJ272" i="1"/>
  <c r="AL272" i="1" s="1"/>
  <c r="AH272" i="1"/>
  <c r="AB272" i="1"/>
  <c r="W272" i="1"/>
  <c r="V272" i="1"/>
  <c r="AM271" i="1"/>
  <c r="AJ271" i="1"/>
  <c r="AL271" i="1" s="1"/>
  <c r="AH271" i="1"/>
  <c r="AB271" i="1"/>
  <c r="W271" i="1"/>
  <c r="V271" i="1"/>
  <c r="AM270" i="1"/>
  <c r="AJ270" i="1"/>
  <c r="AL270" i="1" s="1"/>
  <c r="AH270" i="1"/>
  <c r="AB270" i="1"/>
  <c r="W270" i="1"/>
  <c r="V270" i="1"/>
  <c r="AM269" i="1"/>
  <c r="AJ269" i="1"/>
  <c r="AL269" i="1" s="1"/>
  <c r="AH269" i="1"/>
  <c r="AB269" i="1"/>
  <c r="W269" i="1"/>
  <c r="V269" i="1"/>
  <c r="AM268" i="1"/>
  <c r="AJ268" i="1"/>
  <c r="AL268" i="1" s="1"/>
  <c r="AH268" i="1"/>
  <c r="AB268" i="1"/>
  <c r="W268" i="1"/>
  <c r="V268" i="1"/>
  <c r="AM267" i="1"/>
  <c r="AJ267" i="1"/>
  <c r="AL267" i="1" s="1"/>
  <c r="AH267" i="1"/>
  <c r="AB267" i="1"/>
  <c r="W267" i="1"/>
  <c r="V267" i="1"/>
  <c r="AM266" i="1"/>
  <c r="AJ266" i="1"/>
  <c r="AL266" i="1" s="1"/>
  <c r="AH266" i="1"/>
  <c r="AB266" i="1"/>
  <c r="W266" i="1"/>
  <c r="V266" i="1"/>
  <c r="AM265" i="1"/>
  <c r="AJ265" i="1"/>
  <c r="AL265" i="1" s="1"/>
  <c r="AH265" i="1"/>
  <c r="AB265" i="1"/>
  <c r="W265" i="1"/>
  <c r="V265" i="1"/>
  <c r="AM264" i="1"/>
  <c r="AJ264" i="1"/>
  <c r="AL264" i="1" s="1"/>
  <c r="AH264" i="1"/>
  <c r="AB264" i="1"/>
  <c r="W264" i="1"/>
  <c r="V264" i="1"/>
  <c r="AM263" i="1"/>
  <c r="AJ263" i="1"/>
  <c r="AL263" i="1" s="1"/>
  <c r="AH263" i="1"/>
  <c r="AB263" i="1"/>
  <c r="W263" i="1"/>
  <c r="V263" i="1"/>
  <c r="AM262" i="1"/>
  <c r="AJ262" i="1"/>
  <c r="AL262" i="1" s="1"/>
  <c r="AH262" i="1"/>
  <c r="AB262" i="1"/>
  <c r="W262" i="1"/>
  <c r="V262" i="1"/>
  <c r="AM261" i="1"/>
  <c r="AJ261" i="1"/>
  <c r="AL261" i="1" s="1"/>
  <c r="AH261" i="1"/>
  <c r="AB261" i="1"/>
  <c r="W261" i="1"/>
  <c r="V261" i="1"/>
  <c r="AM260" i="1"/>
  <c r="AJ260" i="1"/>
  <c r="AL260" i="1" s="1"/>
  <c r="AH260" i="1"/>
  <c r="AB260" i="1"/>
  <c r="W260" i="1"/>
  <c r="V260" i="1"/>
  <c r="AM259" i="1"/>
  <c r="AJ259" i="1"/>
  <c r="AL259" i="1" s="1"/>
  <c r="AH259" i="1"/>
  <c r="AB259" i="1"/>
  <c r="W259" i="1"/>
  <c r="V259" i="1"/>
  <c r="AM258" i="1"/>
  <c r="AJ258" i="1"/>
  <c r="AL258" i="1" s="1"/>
  <c r="AH258" i="1"/>
  <c r="AB258" i="1"/>
  <c r="W258" i="1"/>
  <c r="V258" i="1"/>
  <c r="AM257" i="1"/>
  <c r="AJ257" i="1"/>
  <c r="AL257" i="1" s="1"/>
  <c r="AH257" i="1"/>
  <c r="AB257" i="1"/>
  <c r="W257" i="1"/>
  <c r="V257" i="1"/>
  <c r="AM256" i="1"/>
  <c r="AJ256" i="1"/>
  <c r="AL256" i="1" s="1"/>
  <c r="AH256" i="1"/>
  <c r="AB256" i="1"/>
  <c r="W256" i="1"/>
  <c r="V256" i="1"/>
  <c r="AM255" i="1"/>
  <c r="AJ255" i="1"/>
  <c r="AL255" i="1" s="1"/>
  <c r="AH255" i="1"/>
  <c r="AB255" i="1"/>
  <c r="W255" i="1"/>
  <c r="V255" i="1"/>
  <c r="AM254" i="1"/>
  <c r="AJ254" i="1"/>
  <c r="AL254" i="1" s="1"/>
  <c r="AH254" i="1"/>
  <c r="AB254" i="1"/>
  <c r="W254" i="1"/>
  <c r="V254" i="1"/>
  <c r="AM253" i="1"/>
  <c r="AJ253" i="1"/>
  <c r="AL253" i="1" s="1"/>
  <c r="AH253" i="1"/>
  <c r="AB253" i="1"/>
  <c r="W253" i="1"/>
  <c r="V253" i="1"/>
  <c r="AM252" i="1"/>
  <c r="AJ252" i="1"/>
  <c r="AL252" i="1" s="1"/>
  <c r="AH252" i="1"/>
  <c r="AB252" i="1"/>
  <c r="W252" i="1"/>
  <c r="V252" i="1"/>
  <c r="AM251" i="1"/>
  <c r="AJ251" i="1"/>
  <c r="AL251" i="1" s="1"/>
  <c r="AH251" i="1"/>
  <c r="AB251" i="1"/>
  <c r="W251" i="1"/>
  <c r="V251" i="1"/>
  <c r="AM250" i="1"/>
  <c r="AJ250" i="1"/>
  <c r="AL250" i="1" s="1"/>
  <c r="AH250" i="1"/>
  <c r="AB250" i="1"/>
  <c r="W250" i="1"/>
  <c r="V250" i="1"/>
  <c r="AM249" i="1"/>
  <c r="AJ249" i="1"/>
  <c r="AL249" i="1" s="1"/>
  <c r="AH249" i="1"/>
  <c r="AB249" i="1"/>
  <c r="W249" i="1"/>
  <c r="V249" i="1"/>
  <c r="AM248" i="1"/>
  <c r="AJ248" i="1"/>
  <c r="AL248" i="1" s="1"/>
  <c r="AH248" i="1"/>
  <c r="AB248" i="1"/>
  <c r="W248" i="1"/>
  <c r="V248" i="1"/>
  <c r="AM247" i="1"/>
  <c r="AJ247" i="1"/>
  <c r="AL247" i="1" s="1"/>
  <c r="AH247" i="1"/>
  <c r="AB247" i="1"/>
  <c r="W247" i="1"/>
  <c r="V247" i="1"/>
  <c r="AM246" i="1"/>
  <c r="AJ246" i="1"/>
  <c r="AL246" i="1" s="1"/>
  <c r="AH246" i="1"/>
  <c r="AB246" i="1"/>
  <c r="W246" i="1"/>
  <c r="V246" i="1"/>
  <c r="AM245" i="1"/>
  <c r="AJ245" i="1"/>
  <c r="AL245" i="1" s="1"/>
  <c r="AH245" i="1"/>
  <c r="AB245" i="1"/>
  <c r="W245" i="1"/>
  <c r="V245" i="1"/>
  <c r="AM244" i="1"/>
  <c r="AJ244" i="1"/>
  <c r="AL244" i="1" s="1"/>
  <c r="AH244" i="1"/>
  <c r="AB244" i="1"/>
  <c r="W244" i="1"/>
  <c r="V244" i="1"/>
  <c r="AM243" i="1"/>
  <c r="AJ243" i="1"/>
  <c r="AL243" i="1" s="1"/>
  <c r="AH243" i="1"/>
  <c r="AB243" i="1"/>
  <c r="W243" i="1"/>
  <c r="V243" i="1"/>
  <c r="AM242" i="1"/>
  <c r="AJ242" i="1"/>
  <c r="AL242" i="1" s="1"/>
  <c r="AH242" i="1"/>
  <c r="AB242" i="1"/>
  <c r="W242" i="1"/>
  <c r="V242" i="1"/>
  <c r="AM241" i="1"/>
  <c r="AJ241" i="1"/>
  <c r="AL241" i="1" s="1"/>
  <c r="AH241" i="1"/>
  <c r="AB241" i="1"/>
  <c r="W241" i="1"/>
  <c r="V241" i="1"/>
  <c r="AN240" i="1"/>
  <c r="Z240" i="1" s="1"/>
  <c r="AJ240" i="1"/>
  <c r="AL240" i="1" s="1"/>
  <c r="AH240" i="1"/>
  <c r="AA240" i="1"/>
  <c r="V240" i="1"/>
  <c r="AN239" i="1"/>
  <c r="Z239" i="1" s="1"/>
  <c r="AJ239" i="1"/>
  <c r="AL239" i="1" s="1"/>
  <c r="AA239" i="1"/>
  <c r="V239" i="1"/>
  <c r="AM238" i="1"/>
  <c r="AN238" i="1" s="1"/>
  <c r="Z238" i="1" s="1"/>
  <c r="AJ238" i="1"/>
  <c r="AL238" i="1" s="1"/>
  <c r="AH238" i="1"/>
  <c r="AA238" i="1"/>
  <c r="V238" i="1"/>
  <c r="AB237" i="1"/>
  <c r="W237" i="1"/>
  <c r="Z236" i="1"/>
  <c r="O30" i="2" s="1"/>
  <c r="Q30" i="2" s="1"/>
  <c r="R30" i="2" s="1"/>
  <c r="S30" i="2" s="1"/>
  <c r="U236" i="1"/>
  <c r="AA236" i="1" s="1"/>
  <c r="W235" i="1"/>
  <c r="AA234" i="1"/>
  <c r="Z234" i="1"/>
  <c r="AA233" i="1"/>
  <c r="X233" i="1"/>
  <c r="Z233" i="1" s="1"/>
  <c r="V233" i="1"/>
  <c r="AA232" i="1"/>
  <c r="Z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AA226" i="1"/>
  <c r="W226" i="1"/>
  <c r="Y226" i="1" s="1"/>
  <c r="V226" i="1"/>
  <c r="AM225" i="1"/>
  <c r="AJ225" i="1"/>
  <c r="AH225" i="1"/>
  <c r="AB225" i="1"/>
  <c r="W225" i="1"/>
  <c r="V225" i="1"/>
  <c r="AJ224" i="1"/>
  <c r="AA224" i="1"/>
  <c r="Z224" i="1"/>
  <c r="V224" i="1"/>
  <c r="AM223" i="1"/>
  <c r="AN223" i="1" s="1"/>
  <c r="Z223" i="1" s="1"/>
  <c r="AJ223" i="1"/>
  <c r="AH223" i="1"/>
  <c r="AA223" i="1"/>
  <c r="V223" i="1"/>
  <c r="AJ222" i="1"/>
  <c r="AH222" i="1"/>
  <c r="AA222" i="1"/>
  <c r="Y222" i="1" s="1"/>
  <c r="Z222" i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V218" i="1"/>
  <c r="AM217" i="1"/>
  <c r="AJ217" i="1"/>
  <c r="AH217" i="1"/>
  <c r="AB217" i="1"/>
  <c r="W217" i="1"/>
  <c r="V217" i="1"/>
  <c r="AM216" i="1"/>
  <c r="AJ216" i="1"/>
  <c r="AH216" i="1"/>
  <c r="AB216" i="1"/>
  <c r="W216" i="1"/>
  <c r="V216" i="1"/>
  <c r="AM215" i="1"/>
  <c r="AJ215" i="1"/>
  <c r="AH215" i="1"/>
  <c r="AB215" i="1"/>
  <c r="W215" i="1"/>
  <c r="V215" i="1"/>
  <c r="AM214" i="1"/>
  <c r="AJ214" i="1"/>
  <c r="AH214" i="1"/>
  <c r="AB214" i="1"/>
  <c r="W214" i="1"/>
  <c r="V214" i="1"/>
  <c r="AM213" i="1"/>
  <c r="AJ213" i="1"/>
  <c r="AH213" i="1"/>
  <c r="AB213" i="1"/>
  <c r="W213" i="1"/>
  <c r="V213" i="1"/>
  <c r="AM212" i="1"/>
  <c r="AJ212" i="1"/>
  <c r="AH212" i="1"/>
  <c r="AB212" i="1"/>
  <c r="W212" i="1"/>
  <c r="V212" i="1"/>
  <c r="AM211" i="1"/>
  <c r="AJ211" i="1"/>
  <c r="AH211" i="1"/>
  <c r="AB211" i="1"/>
  <c r="W211" i="1"/>
  <c r="V211" i="1"/>
  <c r="AM210" i="1"/>
  <c r="AJ210" i="1"/>
  <c r="AH210" i="1"/>
  <c r="AB210" i="1"/>
  <c r="W210" i="1"/>
  <c r="V210" i="1"/>
  <c r="AM209" i="1"/>
  <c r="AJ209" i="1"/>
  <c r="AH209" i="1"/>
  <c r="AB209" i="1"/>
  <c r="W209" i="1"/>
  <c r="V209" i="1"/>
  <c r="AM208" i="1"/>
  <c r="AJ208" i="1"/>
  <c r="AH208" i="1"/>
  <c r="AB208" i="1"/>
  <c r="W208" i="1"/>
  <c r="V208" i="1"/>
  <c r="AM207" i="1"/>
  <c r="AJ207" i="1"/>
  <c r="AH207" i="1"/>
  <c r="AB207" i="1"/>
  <c r="W207" i="1"/>
  <c r="V207" i="1"/>
  <c r="AM206" i="1"/>
  <c r="AJ206" i="1"/>
  <c r="AH206" i="1"/>
  <c r="AB206" i="1"/>
  <c r="W206" i="1"/>
  <c r="V206" i="1"/>
  <c r="AM205" i="1"/>
  <c r="AJ205" i="1"/>
  <c r="AH205" i="1"/>
  <c r="AB205" i="1"/>
  <c r="W205" i="1"/>
  <c r="V205" i="1"/>
  <c r="AM204" i="1"/>
  <c r="AJ204" i="1"/>
  <c r="AH204" i="1"/>
  <c r="AB204" i="1"/>
  <c r="W204" i="1"/>
  <c r="V204" i="1"/>
  <c r="AM203" i="1"/>
  <c r="AJ203" i="1"/>
  <c r="AH203" i="1"/>
  <c r="AB203" i="1"/>
  <c r="W203" i="1"/>
  <c r="V203" i="1"/>
  <c r="AM202" i="1"/>
  <c r="AJ202" i="1"/>
  <c r="AH202" i="1"/>
  <c r="AB202" i="1"/>
  <c r="W202" i="1"/>
  <c r="V202" i="1"/>
  <c r="AM201" i="1"/>
  <c r="AJ201" i="1"/>
  <c r="AH201" i="1"/>
  <c r="AB201" i="1"/>
  <c r="W201" i="1"/>
  <c r="V201" i="1"/>
  <c r="AM200" i="1"/>
  <c r="AJ200" i="1"/>
  <c r="AH200" i="1"/>
  <c r="AB200" i="1"/>
  <c r="W200" i="1"/>
  <c r="V200" i="1"/>
  <c r="AM199" i="1"/>
  <c r="AJ199" i="1"/>
  <c r="AH199" i="1"/>
  <c r="AB199" i="1"/>
  <c r="W199" i="1"/>
  <c r="V199" i="1"/>
  <c r="AM198" i="1"/>
  <c r="AJ198" i="1"/>
  <c r="AH198" i="1"/>
  <c r="AB198" i="1"/>
  <c r="W198" i="1"/>
  <c r="V198" i="1"/>
  <c r="AM197" i="1"/>
  <c r="AJ197" i="1"/>
  <c r="AH197" i="1"/>
  <c r="AB197" i="1"/>
  <c r="W197" i="1"/>
  <c r="V197" i="1"/>
  <c r="AM196" i="1"/>
  <c r="AJ196" i="1"/>
  <c r="AH196" i="1"/>
  <c r="AB196" i="1"/>
  <c r="W196" i="1"/>
  <c r="V196" i="1"/>
  <c r="AM195" i="1"/>
  <c r="AJ195" i="1"/>
  <c r="AH195" i="1"/>
  <c r="AB195" i="1"/>
  <c r="W195" i="1"/>
  <c r="V195" i="1"/>
  <c r="AM194" i="1"/>
  <c r="AJ194" i="1"/>
  <c r="AH194" i="1"/>
  <c r="AB194" i="1"/>
  <c r="W194" i="1"/>
  <c r="V194" i="1"/>
  <c r="AM193" i="1"/>
  <c r="AJ193" i="1"/>
  <c r="AH193" i="1"/>
  <c r="AB193" i="1"/>
  <c r="W193" i="1"/>
  <c r="V193" i="1"/>
  <c r="AM192" i="1"/>
  <c r="AJ192" i="1"/>
  <c r="AH192" i="1"/>
  <c r="AB192" i="1"/>
  <c r="W192" i="1"/>
  <c r="V192" i="1"/>
  <c r="AM191" i="1"/>
  <c r="AJ191" i="1"/>
  <c r="AH191" i="1"/>
  <c r="AB191" i="1"/>
  <c r="W191" i="1"/>
  <c r="V191" i="1"/>
  <c r="AM190" i="1"/>
  <c r="AJ190" i="1"/>
  <c r="AH190" i="1"/>
  <c r="AB190" i="1"/>
  <c r="W190" i="1"/>
  <c r="V190" i="1"/>
  <c r="AM189" i="1"/>
  <c r="AJ189" i="1"/>
  <c r="AH189" i="1"/>
  <c r="AB189" i="1"/>
  <c r="W189" i="1"/>
  <c r="V189" i="1"/>
  <c r="AM188" i="1"/>
  <c r="AJ188" i="1"/>
  <c r="AH188" i="1"/>
  <c r="AB188" i="1"/>
  <c r="W188" i="1"/>
  <c r="V188" i="1"/>
  <c r="AM187" i="1"/>
  <c r="AJ187" i="1"/>
  <c r="AH187" i="1"/>
  <c r="AB187" i="1"/>
  <c r="W187" i="1"/>
  <c r="V187" i="1"/>
  <c r="AM186" i="1"/>
  <c r="AJ186" i="1"/>
  <c r="AH186" i="1"/>
  <c r="AB186" i="1"/>
  <c r="W186" i="1"/>
  <c r="V186" i="1"/>
  <c r="AM185" i="1"/>
  <c r="AJ185" i="1"/>
  <c r="AH185" i="1"/>
  <c r="AB185" i="1"/>
  <c r="W185" i="1"/>
  <c r="V185" i="1"/>
  <c r="AM184" i="1"/>
  <c r="AJ184" i="1"/>
  <c r="AH184" i="1"/>
  <c r="AB184" i="1"/>
  <c r="W184" i="1"/>
  <c r="V184" i="1"/>
  <c r="AM183" i="1"/>
  <c r="AJ183" i="1"/>
  <c r="AH183" i="1"/>
  <c r="AB183" i="1"/>
  <c r="W183" i="1"/>
  <c r="V183" i="1"/>
  <c r="AM182" i="1"/>
  <c r="AJ182" i="1"/>
  <c r="AH182" i="1"/>
  <c r="AB182" i="1"/>
  <c r="W182" i="1"/>
  <c r="V182" i="1"/>
  <c r="AM181" i="1"/>
  <c r="AJ181" i="1"/>
  <c r="AH181" i="1"/>
  <c r="AB181" i="1"/>
  <c r="W181" i="1"/>
  <c r="V181" i="1"/>
  <c r="AB180" i="1"/>
  <c r="Y180" i="1" s="1"/>
  <c r="Z180" i="1"/>
  <c r="O25" i="2" s="1"/>
  <c r="Q25" i="2" s="1"/>
  <c r="R25" i="2" s="1"/>
  <c r="S25" i="2" s="1"/>
  <c r="U180" i="1"/>
  <c r="AA180" i="1" s="1"/>
  <c r="AA179" i="1"/>
  <c r="Z179" i="1"/>
  <c r="V179" i="1"/>
  <c r="AA178" i="1"/>
  <c r="Z178" i="1"/>
  <c r="V178" i="1"/>
  <c r="AA177" i="1"/>
  <c r="Z177" i="1"/>
  <c r="O23" i="2" s="1"/>
  <c r="Q23" i="2" s="1"/>
  <c r="R23" i="2" s="1"/>
  <c r="S23" i="2" s="1"/>
  <c r="AB176" i="1"/>
  <c r="W176" i="1"/>
  <c r="V176" i="1"/>
  <c r="AB175" i="1"/>
  <c r="W175" i="1"/>
  <c r="V175" i="1"/>
  <c r="AB174" i="1"/>
  <c r="W174" i="1"/>
  <c r="V174" i="1"/>
  <c r="AB173" i="1"/>
  <c r="W173" i="1"/>
  <c r="V173" i="1"/>
  <c r="AB172" i="1"/>
  <c r="W172" i="1"/>
  <c r="V172" i="1"/>
  <c r="AB171" i="1"/>
  <c r="W171" i="1"/>
  <c r="V171" i="1"/>
  <c r="AB170" i="1"/>
  <c r="W170" i="1"/>
  <c r="V170" i="1"/>
  <c r="AB169" i="1"/>
  <c r="W169" i="1"/>
  <c r="V169" i="1"/>
  <c r="AB168" i="1"/>
  <c r="W168" i="1"/>
  <c r="V168" i="1"/>
  <c r="AB167" i="1"/>
  <c r="W167" i="1"/>
  <c r="V167" i="1"/>
  <c r="AB166" i="1"/>
  <c r="W166" i="1"/>
  <c r="V166" i="1"/>
  <c r="AB165" i="1"/>
  <c r="W165" i="1"/>
  <c r="V165" i="1"/>
  <c r="AB164" i="1"/>
  <c r="W164" i="1"/>
  <c r="V164" i="1"/>
  <c r="AB163" i="1"/>
  <c r="W163" i="1"/>
  <c r="V163" i="1"/>
  <c r="AB162" i="1"/>
  <c r="W162" i="1"/>
  <c r="V162" i="1"/>
  <c r="AB161" i="1"/>
  <c r="W161" i="1"/>
  <c r="V161" i="1"/>
  <c r="AB160" i="1"/>
  <c r="W160" i="1"/>
  <c r="V160" i="1"/>
  <c r="AB159" i="1"/>
  <c r="W159" i="1"/>
  <c r="V159" i="1"/>
  <c r="AB158" i="1"/>
  <c r="W158" i="1"/>
  <c r="V158" i="1"/>
  <c r="AB157" i="1"/>
  <c r="W157" i="1"/>
  <c r="V157" i="1"/>
  <c r="AB156" i="1"/>
  <c r="W156" i="1"/>
  <c r="V156" i="1"/>
  <c r="AB155" i="1"/>
  <c r="W155" i="1"/>
  <c r="V155" i="1"/>
  <c r="AB154" i="1"/>
  <c r="W154" i="1"/>
  <c r="V154" i="1"/>
  <c r="AB153" i="1"/>
  <c r="W153" i="1"/>
  <c r="V153" i="1"/>
  <c r="AB152" i="1"/>
  <c r="W152" i="1"/>
  <c r="V152" i="1"/>
  <c r="AB151" i="1"/>
  <c r="W151" i="1"/>
  <c r="V151" i="1"/>
  <c r="AB150" i="1"/>
  <c r="W150" i="1"/>
  <c r="V150" i="1"/>
  <c r="AB149" i="1"/>
  <c r="W149" i="1"/>
  <c r="V149" i="1"/>
  <c r="AB148" i="1"/>
  <c r="W148" i="1"/>
  <c r="V148" i="1"/>
  <c r="AB147" i="1"/>
  <c r="W147" i="1"/>
  <c r="V147" i="1"/>
  <c r="AB146" i="1"/>
  <c r="W146" i="1"/>
  <c r="V146" i="1"/>
  <c r="AB145" i="1"/>
  <c r="W145" i="1"/>
  <c r="V145" i="1"/>
  <c r="AB144" i="1"/>
  <c r="W144" i="1"/>
  <c r="V144" i="1"/>
  <c r="AB143" i="1"/>
  <c r="W143" i="1"/>
  <c r="V143" i="1"/>
  <c r="AB142" i="1"/>
  <c r="W142" i="1"/>
  <c r="V142" i="1"/>
  <c r="AB141" i="1"/>
  <c r="W141" i="1"/>
  <c r="V141" i="1"/>
  <c r="AB140" i="1"/>
  <c r="W140" i="1"/>
  <c r="V140" i="1"/>
  <c r="AB139" i="1"/>
  <c r="W139" i="1"/>
  <c r="V139" i="1"/>
  <c r="AB138" i="1"/>
  <c r="W138" i="1"/>
  <c r="V138" i="1"/>
  <c r="AB137" i="1"/>
  <c r="W137" i="1"/>
  <c r="V137" i="1"/>
  <c r="AB136" i="1"/>
  <c r="W136" i="1"/>
  <c r="V136" i="1"/>
  <c r="AB135" i="1"/>
  <c r="W135" i="1"/>
  <c r="V135" i="1"/>
  <c r="AB134" i="1"/>
  <c r="W134" i="1"/>
  <c r="V134" i="1"/>
  <c r="AB133" i="1"/>
  <c r="W133" i="1"/>
  <c r="V133" i="1"/>
  <c r="Z132" i="1"/>
  <c r="V132" i="1"/>
  <c r="AB131" i="1"/>
  <c r="W131" i="1"/>
  <c r="V131" i="1"/>
  <c r="AB130" i="1"/>
  <c r="W130" i="1"/>
  <c r="V130" i="1"/>
  <c r="AB129" i="1"/>
  <c r="W129" i="1"/>
  <c r="V129" i="1"/>
  <c r="AA128" i="1"/>
  <c r="Z128" i="1"/>
  <c r="O21" i="2" s="1"/>
  <c r="M128" i="1"/>
  <c r="Z127" i="1"/>
  <c r="O20" i="2" s="1"/>
  <c r="Q20" i="2" s="1"/>
  <c r="R20" i="2" s="1"/>
  <c r="S20" i="2" s="1"/>
  <c r="Z126" i="1"/>
  <c r="O19" i="2" s="1"/>
  <c r="Q19" i="2" s="1"/>
  <c r="R19" i="2" s="1"/>
  <c r="S19" i="2" s="1"/>
  <c r="Z125" i="1"/>
  <c r="AA124" i="1"/>
  <c r="Z124" i="1"/>
  <c r="V124" i="1"/>
  <c r="AA123" i="1"/>
  <c r="Z123" i="1"/>
  <c r="V123" i="1"/>
  <c r="AA122" i="1"/>
  <c r="Z122" i="1"/>
  <c r="O18" i="2" s="1"/>
  <c r="Q18" i="2" s="1"/>
  <c r="R18" i="2" s="1"/>
  <c r="S18" i="2" s="1"/>
  <c r="AB121" i="1"/>
  <c r="W121" i="1"/>
  <c r="V121" i="1"/>
  <c r="AB120" i="1"/>
  <c r="W120" i="1"/>
  <c r="V120" i="1"/>
  <c r="AB119" i="1"/>
  <c r="W119" i="1"/>
  <c r="V119" i="1"/>
  <c r="AB118" i="1"/>
  <c r="W118" i="1"/>
  <c r="V118" i="1"/>
  <c r="AB117" i="1"/>
  <c r="W117" i="1"/>
  <c r="V117" i="1"/>
  <c r="AB116" i="1"/>
  <c r="W116" i="1"/>
  <c r="V116" i="1"/>
  <c r="AB115" i="1"/>
  <c r="W115" i="1"/>
  <c r="V115" i="1"/>
  <c r="AB114" i="1"/>
  <c r="W114" i="1"/>
  <c r="V114" i="1"/>
  <c r="AB113" i="1"/>
  <c r="W113" i="1"/>
  <c r="V113" i="1"/>
  <c r="AB112" i="1"/>
  <c r="W112" i="1"/>
  <c r="V112" i="1"/>
  <c r="AB111" i="1"/>
  <c r="W111" i="1"/>
  <c r="V111" i="1"/>
  <c r="AB110" i="1"/>
  <c r="W110" i="1"/>
  <c r="V110" i="1"/>
  <c r="AB109" i="1"/>
  <c r="W109" i="1"/>
  <c r="V109" i="1"/>
  <c r="AB108" i="1"/>
  <c r="W108" i="1"/>
  <c r="V108" i="1"/>
  <c r="AB107" i="1"/>
  <c r="W107" i="1"/>
  <c r="V107" i="1"/>
  <c r="AB106" i="1"/>
  <c r="W106" i="1"/>
  <c r="V106" i="1"/>
  <c r="AB105" i="1"/>
  <c r="W105" i="1"/>
  <c r="V105" i="1"/>
  <c r="AB104" i="1"/>
  <c r="W104" i="1"/>
  <c r="V104" i="1"/>
  <c r="AB103" i="1"/>
  <c r="W103" i="1"/>
  <c r="V103" i="1"/>
  <c r="AB102" i="1"/>
  <c r="W102" i="1"/>
  <c r="V102" i="1"/>
  <c r="AB101" i="1"/>
  <c r="W101" i="1"/>
  <c r="V101" i="1"/>
  <c r="AB100" i="1"/>
  <c r="W100" i="1"/>
  <c r="V100" i="1"/>
  <c r="AB99" i="1"/>
  <c r="W99" i="1"/>
  <c r="V99" i="1"/>
  <c r="AB98" i="1"/>
  <c r="W98" i="1"/>
  <c r="V98" i="1"/>
  <c r="AB97" i="1"/>
  <c r="W97" i="1"/>
  <c r="V97" i="1"/>
  <c r="AB96" i="1"/>
  <c r="W96" i="1"/>
  <c r="V96" i="1"/>
  <c r="AB95" i="1"/>
  <c r="W95" i="1"/>
  <c r="V95" i="1"/>
  <c r="AB94" i="1"/>
  <c r="W94" i="1"/>
  <c r="V94" i="1"/>
  <c r="AB93" i="1"/>
  <c r="W93" i="1"/>
  <c r="V93" i="1"/>
  <c r="AB92" i="1"/>
  <c r="W92" i="1"/>
  <c r="V92" i="1"/>
  <c r="AB91" i="1"/>
  <c r="W91" i="1"/>
  <c r="V91" i="1"/>
  <c r="AB90" i="1"/>
  <c r="W90" i="1"/>
  <c r="V90" i="1"/>
  <c r="AB89" i="1"/>
  <c r="W89" i="1"/>
  <c r="V89" i="1"/>
  <c r="AB88" i="1"/>
  <c r="W88" i="1"/>
  <c r="V88" i="1"/>
  <c r="AB87" i="1"/>
  <c r="W87" i="1"/>
  <c r="V87" i="1"/>
  <c r="AB86" i="1"/>
  <c r="W86" i="1"/>
  <c r="V86" i="1"/>
  <c r="AB85" i="1"/>
  <c r="W85" i="1"/>
  <c r="V85" i="1"/>
  <c r="AB84" i="1"/>
  <c r="W84" i="1"/>
  <c r="V84" i="1"/>
  <c r="AB83" i="1"/>
  <c r="W83" i="1"/>
  <c r="V83" i="1"/>
  <c r="AB82" i="1"/>
  <c r="W82" i="1"/>
  <c r="V82" i="1"/>
  <c r="AB81" i="1"/>
  <c r="W81" i="1"/>
  <c r="V81" i="1"/>
  <c r="AB80" i="1"/>
  <c r="W80" i="1"/>
  <c r="V80" i="1"/>
  <c r="AB79" i="1"/>
  <c r="W79" i="1"/>
  <c r="V79" i="1"/>
  <c r="AB78" i="1"/>
  <c r="W78" i="1"/>
  <c r="V78" i="1"/>
  <c r="AB77" i="1"/>
  <c r="W77" i="1"/>
  <c r="V77" i="1"/>
  <c r="AB76" i="1"/>
  <c r="W76" i="1"/>
  <c r="V76" i="1"/>
  <c r="AB75" i="1"/>
  <c r="W75" i="1"/>
  <c r="V75" i="1"/>
  <c r="AB74" i="1"/>
  <c r="W74" i="1"/>
  <c r="V74" i="1"/>
  <c r="AB73" i="1"/>
  <c r="W73" i="1"/>
  <c r="V73" i="1"/>
  <c r="Z72" i="1"/>
  <c r="V72" i="1"/>
  <c r="AB71" i="1"/>
  <c r="W71" i="1"/>
  <c r="V71" i="1"/>
  <c r="Z70" i="1"/>
  <c r="O14" i="2" s="1"/>
  <c r="Q14" i="2" s="1"/>
  <c r="R14" i="2" s="1"/>
  <c r="S14" i="2" s="1"/>
  <c r="Z69" i="1"/>
  <c r="Z68" i="1"/>
  <c r="Z67" i="1"/>
  <c r="Z66" i="1"/>
  <c r="O12" i="2" s="1"/>
  <c r="Q12" i="2" s="1"/>
  <c r="R12" i="2" s="1"/>
  <c r="S12" i="2" s="1"/>
  <c r="Z65" i="1"/>
  <c r="Z64" i="1"/>
  <c r="Z63" i="1"/>
  <c r="O10" i="2" s="1"/>
  <c r="Z62" i="1"/>
  <c r="Z61" i="1"/>
  <c r="W60" i="1"/>
  <c r="V60" i="1"/>
  <c r="Z59" i="1"/>
  <c r="AA58" i="1"/>
  <c r="Z58" i="1"/>
  <c r="AA57" i="1"/>
  <c r="Z57" i="1"/>
  <c r="O5" i="2" s="1"/>
  <c r="Q5" i="2" s="1"/>
  <c r="R5" i="2" s="1"/>
  <c r="S5" i="2" s="1"/>
  <c r="W56" i="1"/>
  <c r="Y56" i="1" s="1"/>
  <c r="AB55" i="1"/>
  <c r="W55" i="1"/>
  <c r="V55" i="1"/>
  <c r="AB54" i="1"/>
  <c r="W54" i="1"/>
  <c r="V54" i="1"/>
  <c r="AB53" i="1"/>
  <c r="W53" i="1"/>
  <c r="V53" i="1"/>
  <c r="AB52" i="1"/>
  <c r="W52" i="1"/>
  <c r="V52" i="1"/>
  <c r="AB51" i="1"/>
  <c r="W51" i="1"/>
  <c r="V51" i="1"/>
  <c r="AB50" i="1"/>
  <c r="W50" i="1"/>
  <c r="V50" i="1"/>
  <c r="AB49" i="1"/>
  <c r="W49" i="1"/>
  <c r="V49" i="1"/>
  <c r="AB48" i="1"/>
  <c r="W48" i="1"/>
  <c r="V48" i="1"/>
  <c r="AB47" i="1"/>
  <c r="W47" i="1"/>
  <c r="V47" i="1"/>
  <c r="AB46" i="1"/>
  <c r="W46" i="1"/>
  <c r="V46" i="1"/>
  <c r="AB45" i="1"/>
  <c r="W45" i="1"/>
  <c r="V45" i="1"/>
  <c r="AB44" i="1"/>
  <c r="W44" i="1"/>
  <c r="V44" i="1"/>
  <c r="AB43" i="1"/>
  <c r="W43" i="1"/>
  <c r="V43" i="1"/>
  <c r="AB42" i="1"/>
  <c r="W42" i="1"/>
  <c r="V42" i="1"/>
  <c r="AB41" i="1"/>
  <c r="W41" i="1"/>
  <c r="V41" i="1"/>
  <c r="AB40" i="1"/>
  <c r="W40" i="1"/>
  <c r="V40" i="1"/>
  <c r="AB39" i="1"/>
  <c r="W39" i="1"/>
  <c r="V39" i="1"/>
  <c r="AB38" i="1"/>
  <c r="W38" i="1"/>
  <c r="V38" i="1"/>
  <c r="AB37" i="1"/>
  <c r="W37" i="1"/>
  <c r="V37" i="1"/>
  <c r="AB36" i="1"/>
  <c r="W36" i="1"/>
  <c r="V36" i="1"/>
  <c r="AB35" i="1"/>
  <c r="W35" i="1"/>
  <c r="V35" i="1"/>
  <c r="AB34" i="1"/>
  <c r="W34" i="1"/>
  <c r="V34" i="1"/>
  <c r="AB33" i="1"/>
  <c r="W33" i="1"/>
  <c r="V33" i="1"/>
  <c r="AB32" i="1"/>
  <c r="W32" i="1"/>
  <c r="V32" i="1"/>
  <c r="AB31" i="1"/>
  <c r="W31" i="1"/>
  <c r="V31" i="1"/>
  <c r="AB30" i="1"/>
  <c r="W30" i="1"/>
  <c r="V30" i="1"/>
  <c r="AB29" i="1"/>
  <c r="W29" i="1"/>
  <c r="V29" i="1"/>
  <c r="AB28" i="1"/>
  <c r="W28" i="1"/>
  <c r="V28" i="1"/>
  <c r="AB27" i="1"/>
  <c r="W27" i="1"/>
  <c r="V27" i="1"/>
  <c r="AB26" i="1"/>
  <c r="W26" i="1"/>
  <c r="V26" i="1"/>
  <c r="AB25" i="1"/>
  <c r="W25" i="1"/>
  <c r="V25" i="1"/>
  <c r="AB24" i="1"/>
  <c r="W24" i="1"/>
  <c r="Y24" i="1" s="1"/>
  <c r="V24" i="1"/>
  <c r="AB23" i="1"/>
  <c r="W23" i="1"/>
  <c r="V23" i="1"/>
  <c r="AB22" i="1"/>
  <c r="W22" i="1"/>
  <c r="V22" i="1"/>
  <c r="AB21" i="1"/>
  <c r="W21" i="1"/>
  <c r="V21" i="1"/>
  <c r="AB20" i="1"/>
  <c r="W20" i="1"/>
  <c r="V20" i="1"/>
  <c r="AB19" i="1"/>
  <c r="W19" i="1"/>
  <c r="V19" i="1"/>
  <c r="AB18" i="1"/>
  <c r="W18" i="1"/>
  <c r="V18" i="1"/>
  <c r="AB17" i="1"/>
  <c r="W17" i="1"/>
  <c r="V17" i="1"/>
  <c r="AB16" i="1"/>
  <c r="W16" i="1"/>
  <c r="Y16" i="1" s="1"/>
  <c r="V16" i="1"/>
  <c r="AB15" i="1"/>
  <c r="W15" i="1"/>
  <c r="V15" i="1"/>
  <c r="AB14" i="1"/>
  <c r="W14" i="1"/>
  <c r="V14" i="1"/>
  <c r="AB13" i="1"/>
  <c r="W13" i="1"/>
  <c r="V13" i="1"/>
  <c r="AB12" i="1"/>
  <c r="W12" i="1"/>
  <c r="AB11" i="1"/>
  <c r="W11" i="1"/>
  <c r="V11" i="1"/>
  <c r="AA10" i="1"/>
  <c r="Y10" i="1" s="1"/>
  <c r="Z10" i="1"/>
  <c r="V10" i="1"/>
  <c r="AB9" i="1"/>
  <c r="W9" i="1"/>
  <c r="V9" i="1"/>
  <c r="AB8" i="1"/>
  <c r="W8" i="1"/>
  <c r="V8" i="1"/>
  <c r="AB7" i="1"/>
  <c r="W7" i="1"/>
  <c r="V7" i="1"/>
  <c r="AB6" i="1"/>
  <c r="W6" i="1"/>
  <c r="V6" i="1"/>
  <c r="AB5" i="1"/>
  <c r="W5" i="1"/>
  <c r="V5" i="1"/>
  <c r="AB4" i="1"/>
  <c r="W4" i="1"/>
  <c r="V4" i="1"/>
  <c r="Z3" i="1"/>
  <c r="V3" i="1"/>
  <c r="AB2" i="1"/>
  <c r="W2" i="1"/>
  <c r="Z2" i="1" s="1"/>
  <c r="V2" i="1"/>
  <c r="L53" i="30"/>
  <c r="G49" i="30"/>
  <c r="F49" i="30"/>
  <c r="H49" i="30" s="1"/>
  <c r="L47" i="30"/>
  <c r="B47" i="30"/>
  <c r="C47" i="30" s="1"/>
  <c r="G45" i="30"/>
  <c r="G44" i="30"/>
  <c r="C32" i="30"/>
  <c r="C31" i="30"/>
  <c r="C30" i="30"/>
  <c r="C29" i="30"/>
  <c r="C28" i="30"/>
  <c r="C27" i="30"/>
  <c r="C26" i="30"/>
  <c r="C25" i="30"/>
  <c r="C24" i="30"/>
  <c r="C23" i="30"/>
  <c r="L15" i="30"/>
  <c r="G15" i="30"/>
  <c r="G53" i="30" s="1"/>
  <c r="L13" i="30"/>
  <c r="L51" i="30" s="1"/>
  <c r="G13" i="30"/>
  <c r="G16" i="30" s="1"/>
  <c r="L11" i="30"/>
  <c r="L49" i="30" s="1"/>
  <c r="K11" i="30"/>
  <c r="K49" i="30" s="1"/>
  <c r="G11" i="30"/>
  <c r="F11" i="30"/>
  <c r="H11" i="30" s="1"/>
  <c r="L10" i="30"/>
  <c r="L48" i="30" s="1"/>
  <c r="K10" i="30"/>
  <c r="G10" i="30"/>
  <c r="G48" i="30" s="1"/>
  <c r="F10" i="30"/>
  <c r="F48" i="30" s="1"/>
  <c r="H48" i="30" s="1"/>
  <c r="B10" i="30"/>
  <c r="B48" i="30" s="1"/>
  <c r="C48" i="30" s="1"/>
  <c r="L9" i="30"/>
  <c r="K9" i="30"/>
  <c r="K47" i="30" s="1"/>
  <c r="G9" i="30"/>
  <c r="G47" i="30" s="1"/>
  <c r="F9" i="30"/>
  <c r="F47" i="30" s="1"/>
  <c r="H47" i="30" s="1"/>
  <c r="B9" i="30"/>
  <c r="L8" i="30"/>
  <c r="L46" i="30" s="1"/>
  <c r="K8" i="30"/>
  <c r="K46" i="30" s="1"/>
  <c r="G8" i="30"/>
  <c r="G46" i="30" s="1"/>
  <c r="F8" i="30"/>
  <c r="F46" i="30" s="1"/>
  <c r="B8" i="30"/>
  <c r="B46" i="30" s="1"/>
  <c r="C46" i="30" s="1"/>
  <c r="L7" i="30"/>
  <c r="L45" i="30" s="1"/>
  <c r="K7" i="30"/>
  <c r="G7" i="30"/>
  <c r="F7" i="30"/>
  <c r="H7" i="30" s="1"/>
  <c r="B7" i="30"/>
  <c r="B45" i="30" s="1"/>
  <c r="C45" i="30" s="1"/>
  <c r="L6" i="30"/>
  <c r="L44" i="30" s="1"/>
  <c r="K6" i="30"/>
  <c r="K44" i="30" s="1"/>
  <c r="G6" i="30"/>
  <c r="B6" i="30"/>
  <c r="B44" i="30" s="1"/>
  <c r="C44" i="30" s="1"/>
  <c r="L5" i="30"/>
  <c r="L43" i="30" s="1"/>
  <c r="K5" i="30"/>
  <c r="K43" i="30" s="1"/>
  <c r="G5" i="30"/>
  <c r="G14" i="30" s="1"/>
  <c r="G52" i="30" s="1"/>
  <c r="F5" i="30"/>
  <c r="F43" i="30" s="1"/>
  <c r="B5" i="30"/>
  <c r="B43" i="30" s="1"/>
  <c r="C43" i="30" s="1"/>
  <c r="L4" i="30"/>
  <c r="L42" i="30" s="1"/>
  <c r="G4" i="30"/>
  <c r="G42" i="30" s="1"/>
  <c r="Y30" i="1" l="1"/>
  <c r="Y38" i="1"/>
  <c r="Y46" i="1"/>
  <c r="Y106" i="1"/>
  <c r="Y114" i="1"/>
  <c r="Y197" i="1"/>
  <c r="Y201" i="1"/>
  <c r="Y213" i="1"/>
  <c r="Y241" i="1"/>
  <c r="Y265" i="1"/>
  <c r="Y295" i="1"/>
  <c r="Y299" i="1"/>
  <c r="Y322" i="1"/>
  <c r="Y338" i="1"/>
  <c r="Y346" i="1"/>
  <c r="Y366" i="1"/>
  <c r="Y374" i="1"/>
  <c r="Y382" i="1"/>
  <c r="Y386" i="1"/>
  <c r="Y402" i="1"/>
  <c r="Y406" i="1"/>
  <c r="Y414" i="1"/>
  <c r="Y422" i="1"/>
  <c r="M8" i="30"/>
  <c r="M7" i="30"/>
  <c r="M10" i="30"/>
  <c r="G2" i="14"/>
  <c r="H14" i="30"/>
  <c r="H46" i="30"/>
  <c r="Z300" i="1"/>
  <c r="L16" i="30"/>
  <c r="L54" i="30" s="1"/>
  <c r="Y323" i="1"/>
  <c r="Y339" i="1"/>
  <c r="Y351" i="1"/>
  <c r="Y383" i="1"/>
  <c r="Y395" i="1"/>
  <c r="Y399" i="1"/>
  <c r="Y403" i="1"/>
  <c r="Y407" i="1"/>
  <c r="Y415" i="1"/>
  <c r="Y423" i="1"/>
  <c r="Y446" i="1"/>
  <c r="Y458" i="1"/>
  <c r="Y462" i="1"/>
  <c r="Y470" i="1"/>
  <c r="Y478" i="1"/>
  <c r="Y482" i="1"/>
  <c r="Y514" i="1"/>
  <c r="Y530" i="1"/>
  <c r="Y500" i="1"/>
  <c r="Y512" i="1"/>
  <c r="Q40" i="2"/>
  <c r="R40" i="2" s="1"/>
  <c r="S40" i="2" s="1"/>
  <c r="Y76" i="1"/>
  <c r="Y84" i="1"/>
  <c r="Q64" i="2"/>
  <c r="R64" i="2" s="1"/>
  <c r="S64" i="2" s="1"/>
  <c r="Q21" i="2"/>
  <c r="R21" i="2" s="1"/>
  <c r="S21" i="2" s="1"/>
  <c r="Y437" i="1"/>
  <c r="Y441" i="1"/>
  <c r="Y449" i="1"/>
  <c r="Y457" i="1"/>
  <c r="Y493" i="1"/>
  <c r="Y499" i="1"/>
  <c r="Y507" i="1"/>
  <c r="Y511" i="1"/>
  <c r="Y515" i="1"/>
  <c r="Y519" i="1"/>
  <c r="Y523" i="1"/>
  <c r="Y531" i="1"/>
  <c r="O52" i="2"/>
  <c r="Q52" i="2" s="1"/>
  <c r="R52" i="2" s="1"/>
  <c r="S52" i="2" s="1"/>
  <c r="Y505" i="1"/>
  <c r="Y521" i="1"/>
  <c r="Y537" i="1"/>
  <c r="Y44" i="1"/>
  <c r="Y160" i="1"/>
  <c r="Y184" i="1"/>
  <c r="Y188" i="1"/>
  <c r="Y196" i="1"/>
  <c r="Y204" i="1"/>
  <c r="Y212" i="1"/>
  <c r="Y260" i="1"/>
  <c r="Y284" i="1"/>
  <c r="Y305" i="1"/>
  <c r="Y309" i="1"/>
  <c r="Y321" i="1"/>
  <c r="Y333" i="1"/>
  <c r="Y337" i="1"/>
  <c r="Y341" i="1"/>
  <c r="Y345" i="1"/>
  <c r="Y365" i="1"/>
  <c r="Y373" i="1"/>
  <c r="Y377" i="1"/>
  <c r="Y381" i="1"/>
  <c r="Y393" i="1"/>
  <c r="Y397" i="1"/>
  <c r="Y401" i="1"/>
  <c r="Y405" i="1"/>
  <c r="Y524" i="1"/>
  <c r="Y528" i="1"/>
  <c r="Y532" i="1"/>
  <c r="Y544" i="1"/>
  <c r="Y548" i="1"/>
  <c r="Y556" i="1"/>
  <c r="Y609" i="1"/>
  <c r="Y613" i="1"/>
  <c r="Y617" i="1"/>
  <c r="Y621" i="1"/>
  <c r="Y610" i="1"/>
  <c r="Y409" i="1"/>
  <c r="Y417" i="1"/>
  <c r="Y421" i="1"/>
  <c r="Y444" i="1"/>
  <c r="Y448" i="1"/>
  <c r="Y452" i="1"/>
  <c r="Y187" i="1"/>
  <c r="Y195" i="1"/>
  <c r="Y203" i="1"/>
  <c r="Y211" i="1"/>
  <c r="Y219" i="1"/>
  <c r="Y225" i="1"/>
  <c r="Y243" i="1"/>
  <c r="Y247" i="1"/>
  <c r="Y259" i="1"/>
  <c r="Y312" i="1"/>
  <c r="Y320" i="1"/>
  <c r="Y332" i="1"/>
  <c r="Y348" i="1"/>
  <c r="Y352" i="1"/>
  <c r="Y376" i="1"/>
  <c r="Y380" i="1"/>
  <c r="Y388" i="1"/>
  <c r="Y392" i="1"/>
  <c r="Y396" i="1"/>
  <c r="Y404" i="1"/>
  <c r="Y412" i="1"/>
  <c r="Y416" i="1"/>
  <c r="Y420" i="1"/>
  <c r="Y443" i="1"/>
  <c r="Y447" i="1"/>
  <c r="Y455" i="1"/>
  <c r="Y491" i="1"/>
  <c r="Y539" i="1"/>
  <c r="Y576" i="1"/>
  <c r="Y580" i="1"/>
  <c r="Y600" i="1"/>
  <c r="Y604" i="1"/>
  <c r="Y35" i="1"/>
  <c r="Y111" i="1"/>
  <c r="Y143" i="1"/>
  <c r="Y151" i="1"/>
  <c r="Y175" i="1"/>
  <c r="Y237" i="1"/>
  <c r="Z372" i="1"/>
  <c r="Y372" i="1"/>
  <c r="AA384" i="1"/>
  <c r="Y384" i="1"/>
  <c r="Z400" i="1"/>
  <c r="Y400" i="1"/>
  <c r="AA408" i="1"/>
  <c r="Y408" i="1"/>
  <c r="AA451" i="1"/>
  <c r="Y451" i="1"/>
  <c r="Z492" i="1"/>
  <c r="Y492" i="1"/>
  <c r="Z508" i="1"/>
  <c r="Y508" i="1"/>
  <c r="AA516" i="1"/>
  <c r="Y516" i="1"/>
  <c r="AA520" i="1"/>
  <c r="Y520" i="1"/>
  <c r="Z536" i="1"/>
  <c r="Y536" i="1"/>
  <c r="AA540" i="1"/>
  <c r="Y540" i="1"/>
  <c r="Z552" i="1"/>
  <c r="Y552" i="1"/>
  <c r="AA565" i="1"/>
  <c r="Y565" i="1"/>
  <c r="Z13" i="1"/>
  <c r="Y13" i="1"/>
  <c r="Z21" i="1"/>
  <c r="Y21" i="1"/>
  <c r="Z29" i="1"/>
  <c r="Y29" i="1"/>
  <c r="Z37" i="1"/>
  <c r="Y37" i="1"/>
  <c r="Z45" i="1"/>
  <c r="Y45" i="1"/>
  <c r="Z53" i="1"/>
  <c r="Y53" i="1"/>
  <c r="Z73" i="1"/>
  <c r="Y73" i="1"/>
  <c r="Z81" i="1"/>
  <c r="Y81" i="1"/>
  <c r="Z89" i="1"/>
  <c r="Y89" i="1"/>
  <c r="Z97" i="1"/>
  <c r="Y97" i="1"/>
  <c r="Z105" i="1"/>
  <c r="Y105" i="1"/>
  <c r="Z113" i="1"/>
  <c r="Y113" i="1"/>
  <c r="Z121" i="1"/>
  <c r="Y121" i="1"/>
  <c r="Y137" i="1"/>
  <c r="Y145" i="1"/>
  <c r="AA153" i="1"/>
  <c r="Y153" i="1"/>
  <c r="Y161" i="1"/>
  <c r="Y169" i="1"/>
  <c r="Y228" i="1"/>
  <c r="AA291" i="1"/>
  <c r="Y291" i="1"/>
  <c r="AA368" i="1"/>
  <c r="Y368" i="1"/>
  <c r="Y430" i="1"/>
  <c r="Y434" i="1"/>
  <c r="AA459" i="1"/>
  <c r="Y459" i="1"/>
  <c r="Y463" i="1"/>
  <c r="Y467" i="1"/>
  <c r="Z471" i="1"/>
  <c r="Y471" i="1"/>
  <c r="AA475" i="1"/>
  <c r="Y475" i="1"/>
  <c r="Y479" i="1"/>
  <c r="AA483" i="1"/>
  <c r="Y483" i="1"/>
  <c r="AA487" i="1"/>
  <c r="Y487" i="1"/>
  <c r="AA562" i="1"/>
  <c r="Y562" i="1"/>
  <c r="Y569" i="1"/>
  <c r="Z573" i="1"/>
  <c r="Y573" i="1"/>
  <c r="Z577" i="1"/>
  <c r="Y577" i="1"/>
  <c r="AA581" i="1"/>
  <c r="Y581" i="1"/>
  <c r="AA585" i="1"/>
  <c r="Y585" i="1"/>
  <c r="AA589" i="1"/>
  <c r="Y589" i="1"/>
  <c r="Y593" i="1"/>
  <c r="Y597" i="1"/>
  <c r="Y601" i="1"/>
  <c r="AA605" i="1"/>
  <c r="Y605" i="1"/>
  <c r="AA610" i="1"/>
  <c r="Z614" i="1"/>
  <c r="Y614" i="1"/>
  <c r="AA618" i="1"/>
  <c r="Y618" i="1"/>
  <c r="Y242" i="1"/>
  <c r="Z246" i="1"/>
  <c r="Y246" i="1"/>
  <c r="Y250" i="1"/>
  <c r="Z254" i="1"/>
  <c r="Y254" i="1"/>
  <c r="Z258" i="1"/>
  <c r="Y258" i="1"/>
  <c r="Y262" i="1"/>
  <c r="Y266" i="1"/>
  <c r="Z270" i="1"/>
  <c r="Y270" i="1"/>
  <c r="Z274" i="1"/>
  <c r="Y274" i="1"/>
  <c r="Y278" i="1"/>
  <c r="Y282" i="1"/>
  <c r="Z286" i="1"/>
  <c r="Y286" i="1"/>
  <c r="AA296" i="1"/>
  <c r="Y296" i="1"/>
  <c r="Z303" i="1"/>
  <c r="Y303" i="1"/>
  <c r="AA307" i="1"/>
  <c r="Y307" i="1"/>
  <c r="Z311" i="1"/>
  <c r="Y311" i="1"/>
  <c r="Z315" i="1"/>
  <c r="Y315" i="1"/>
  <c r="AA319" i="1"/>
  <c r="Y319" i="1"/>
  <c r="Z327" i="1"/>
  <c r="Y327" i="1"/>
  <c r="Z331" i="1"/>
  <c r="Y331" i="1"/>
  <c r="AA335" i="1"/>
  <c r="Y335" i="1"/>
  <c r="AA343" i="1"/>
  <c r="Y343" i="1"/>
  <c r="Z347" i="1"/>
  <c r="Y347" i="1"/>
  <c r="AA371" i="1"/>
  <c r="Y371" i="1"/>
  <c r="AA375" i="1"/>
  <c r="Y375" i="1"/>
  <c r="Z379" i="1"/>
  <c r="Y379" i="1"/>
  <c r="Z387" i="1"/>
  <c r="Y387" i="1"/>
  <c r="AA391" i="1"/>
  <c r="Y391" i="1"/>
  <c r="AA411" i="1"/>
  <c r="Y411" i="1"/>
  <c r="Z419" i="1"/>
  <c r="Y419" i="1"/>
  <c r="Z442" i="1"/>
  <c r="Y442" i="1"/>
  <c r="Z450" i="1"/>
  <c r="Y450" i="1"/>
  <c r="Z454" i="1"/>
  <c r="Y454" i="1"/>
  <c r="Z527" i="1"/>
  <c r="Y527" i="1"/>
  <c r="AA535" i="1"/>
  <c r="Y535" i="1"/>
  <c r="AA543" i="1"/>
  <c r="Y543" i="1"/>
  <c r="Z547" i="1"/>
  <c r="Y547" i="1"/>
  <c r="AA551" i="1"/>
  <c r="Y551" i="1"/>
  <c r="Z555" i="1"/>
  <c r="Y555" i="1"/>
  <c r="Z564" i="1"/>
  <c r="Y564" i="1"/>
  <c r="Z26" i="1"/>
  <c r="Y26" i="1"/>
  <c r="Z34" i="1"/>
  <c r="Y34" i="1"/>
  <c r="Z60" i="1"/>
  <c r="O8" i="2" s="1"/>
  <c r="Q8" i="2" s="1"/>
  <c r="R8" i="2" s="1"/>
  <c r="S8" i="2" s="1"/>
  <c r="Y60" i="1"/>
  <c r="AA94" i="1"/>
  <c r="Y94" i="1"/>
  <c r="AA110" i="1"/>
  <c r="Y110" i="1"/>
  <c r="AA118" i="1"/>
  <c r="Y118" i="1"/>
  <c r="AA131" i="1"/>
  <c r="Y131" i="1"/>
  <c r="AA134" i="1"/>
  <c r="Y134" i="1"/>
  <c r="AA142" i="1"/>
  <c r="Y142" i="1"/>
  <c r="AA150" i="1"/>
  <c r="Y150" i="1"/>
  <c r="AA158" i="1"/>
  <c r="Y158" i="1"/>
  <c r="AA166" i="1"/>
  <c r="Y166" i="1"/>
  <c r="AA174" i="1"/>
  <c r="Y174" i="1"/>
  <c r="AA199" i="1"/>
  <c r="Y199" i="1"/>
  <c r="Z263" i="1"/>
  <c r="Y263" i="1"/>
  <c r="AA271" i="1"/>
  <c r="Y271" i="1"/>
  <c r="Z283" i="1"/>
  <c r="Y283" i="1"/>
  <c r="Z297" i="1"/>
  <c r="Y297" i="1"/>
  <c r="Z316" i="1"/>
  <c r="Y316" i="1"/>
  <c r="Z328" i="1"/>
  <c r="Y328" i="1"/>
  <c r="Z336" i="1"/>
  <c r="Y336" i="1"/>
  <c r="AA340" i="1"/>
  <c r="Y340" i="1"/>
  <c r="Z344" i="1"/>
  <c r="Y344" i="1"/>
  <c r="Z5" i="1"/>
  <c r="Y5" i="1"/>
  <c r="Z32" i="1"/>
  <c r="Y32" i="1"/>
  <c r="AA40" i="1"/>
  <c r="Y40" i="1"/>
  <c r="Z48" i="1"/>
  <c r="Y48" i="1"/>
  <c r="Z431" i="1"/>
  <c r="Y431" i="1"/>
  <c r="Z435" i="1"/>
  <c r="Y435" i="1"/>
  <c r="Z466" i="1"/>
  <c r="Y466" i="1"/>
  <c r="AA474" i="1"/>
  <c r="Y474" i="1"/>
  <c r="Z486" i="1"/>
  <c r="Y486" i="1"/>
  <c r="Z490" i="1"/>
  <c r="Y490" i="1"/>
  <c r="AD503" i="1"/>
  <c r="Y503" i="1"/>
  <c r="Z572" i="1"/>
  <c r="Y572" i="1"/>
  <c r="Z584" i="1"/>
  <c r="Y584" i="1"/>
  <c r="Z588" i="1"/>
  <c r="Y588" i="1"/>
  <c r="AA592" i="1"/>
  <c r="Y592" i="1"/>
  <c r="AA596" i="1"/>
  <c r="Y596" i="1"/>
  <c r="AA183" i="1"/>
  <c r="Y183" i="1"/>
  <c r="AA191" i="1"/>
  <c r="Y191" i="1"/>
  <c r="Z207" i="1"/>
  <c r="Y207" i="1"/>
  <c r="AA215" i="1"/>
  <c r="Y215" i="1"/>
  <c r="AA235" i="1"/>
  <c r="Y235" i="1"/>
  <c r="Z251" i="1"/>
  <c r="Y251" i="1"/>
  <c r="AA255" i="1"/>
  <c r="Y255" i="1"/>
  <c r="AA267" i="1"/>
  <c r="Y267" i="1"/>
  <c r="AA275" i="1"/>
  <c r="Y275" i="1"/>
  <c r="AA279" i="1"/>
  <c r="Y279" i="1"/>
  <c r="AA287" i="1"/>
  <c r="Y287" i="1"/>
  <c r="Z293" i="1"/>
  <c r="Y293" i="1"/>
  <c r="Z304" i="1"/>
  <c r="Y304" i="1"/>
  <c r="Z308" i="1"/>
  <c r="Y308" i="1"/>
  <c r="Z324" i="1"/>
  <c r="Y324" i="1"/>
  <c r="AA79" i="1"/>
  <c r="Y79" i="1"/>
  <c r="AA87" i="1"/>
  <c r="Y87" i="1"/>
  <c r="AA95" i="1"/>
  <c r="Y95" i="1"/>
  <c r="Z103" i="1"/>
  <c r="Y103" i="1"/>
  <c r="AA119" i="1"/>
  <c r="Y119" i="1"/>
  <c r="AA138" i="1"/>
  <c r="Y138" i="1"/>
  <c r="AA146" i="1"/>
  <c r="Y146" i="1"/>
  <c r="AA154" i="1"/>
  <c r="Y154" i="1"/>
  <c r="AA162" i="1"/>
  <c r="Y162" i="1"/>
  <c r="AA170" i="1"/>
  <c r="Y170" i="1"/>
  <c r="AA181" i="1"/>
  <c r="Y181" i="1"/>
  <c r="Z185" i="1"/>
  <c r="Y185" i="1"/>
  <c r="AA189" i="1"/>
  <c r="Y189" i="1"/>
  <c r="Z193" i="1"/>
  <c r="Y193" i="1"/>
  <c r="Z205" i="1"/>
  <c r="Y205" i="1"/>
  <c r="Z209" i="1"/>
  <c r="Y209" i="1"/>
  <c r="Z217" i="1"/>
  <c r="Y217" i="1"/>
  <c r="AA221" i="1"/>
  <c r="Y221" i="1"/>
  <c r="Z245" i="1"/>
  <c r="Y245" i="1"/>
  <c r="Z249" i="1"/>
  <c r="Y249" i="1"/>
  <c r="Z253" i="1"/>
  <c r="Y253" i="1"/>
  <c r="Z257" i="1"/>
  <c r="Y257" i="1"/>
  <c r="Z261" i="1"/>
  <c r="Y261" i="1"/>
  <c r="Z269" i="1"/>
  <c r="Y269" i="1"/>
  <c r="AA273" i="1"/>
  <c r="Y273" i="1"/>
  <c r="Z277" i="1"/>
  <c r="Y277" i="1"/>
  <c r="Z281" i="1"/>
  <c r="Y281" i="1"/>
  <c r="AA285" i="1"/>
  <c r="Y285" i="1"/>
  <c r="Z292" i="1"/>
  <c r="Y292" i="1"/>
  <c r="Z306" i="1"/>
  <c r="Y306" i="1"/>
  <c r="AA310" i="1"/>
  <c r="Y310" i="1"/>
  <c r="Z314" i="1"/>
  <c r="Y314" i="1"/>
  <c r="Z318" i="1"/>
  <c r="Y318" i="1"/>
  <c r="AA326" i="1"/>
  <c r="Y326" i="1"/>
  <c r="AA330" i="1"/>
  <c r="Y330" i="1"/>
  <c r="Z334" i="1"/>
  <c r="Y334" i="1"/>
  <c r="Z342" i="1"/>
  <c r="Y342" i="1"/>
  <c r="Z350" i="1"/>
  <c r="Y350" i="1"/>
  <c r="Z445" i="1"/>
  <c r="Y445" i="1"/>
  <c r="Z453" i="1"/>
  <c r="Y453" i="1"/>
  <c r="AA490" i="1"/>
  <c r="Z502" i="1"/>
  <c r="Y502" i="1"/>
  <c r="AA506" i="1"/>
  <c r="Y506" i="1"/>
  <c r="Z510" i="1"/>
  <c r="Y510" i="1"/>
  <c r="AA518" i="1"/>
  <c r="Y518" i="1"/>
  <c r="Z522" i="1"/>
  <c r="Y522" i="1"/>
  <c r="AA526" i="1"/>
  <c r="Y526" i="1"/>
  <c r="AA534" i="1"/>
  <c r="Y534" i="1"/>
  <c r="AA538" i="1"/>
  <c r="Y538" i="1"/>
  <c r="AA542" i="1"/>
  <c r="Y542" i="1"/>
  <c r="AA546" i="1"/>
  <c r="Y546" i="1"/>
  <c r="AA550" i="1"/>
  <c r="Y550" i="1"/>
  <c r="Y554" i="1"/>
  <c r="Y558" i="1"/>
  <c r="AA563" i="1"/>
  <c r="Y563" i="1"/>
  <c r="Z608" i="1"/>
  <c r="Y608" i="1"/>
  <c r="Z135" i="1"/>
  <c r="Y135" i="1"/>
  <c r="Z159" i="1"/>
  <c r="Y159" i="1"/>
  <c r="AA167" i="1"/>
  <c r="Y167" i="1"/>
  <c r="AA227" i="1"/>
  <c r="Y227" i="1"/>
  <c r="AA231" i="1"/>
  <c r="Y231" i="1"/>
  <c r="Z11" i="1"/>
  <c r="Y11" i="1"/>
  <c r="AA14" i="1"/>
  <c r="Y14" i="1"/>
  <c r="AA22" i="1"/>
  <c r="Y22" i="1"/>
  <c r="AA54" i="1"/>
  <c r="Y54" i="1"/>
  <c r="AA71" i="1"/>
  <c r="Y71" i="1"/>
  <c r="AA74" i="1"/>
  <c r="Y74" i="1"/>
  <c r="AA82" i="1"/>
  <c r="Y82" i="1"/>
  <c r="AA90" i="1"/>
  <c r="Y90" i="1"/>
  <c r="Z98" i="1"/>
  <c r="Y98" i="1"/>
  <c r="Z378" i="1"/>
  <c r="Y378" i="1"/>
  <c r="AA390" i="1"/>
  <c r="Y390" i="1"/>
  <c r="Z394" i="1"/>
  <c r="Y394" i="1"/>
  <c r="Z398" i="1"/>
  <c r="Y398" i="1"/>
  <c r="Z410" i="1"/>
  <c r="Y410" i="1"/>
  <c r="Z418" i="1"/>
  <c r="Y418" i="1"/>
  <c r="Y6" i="1"/>
  <c r="Z17" i="1"/>
  <c r="Y17" i="1"/>
  <c r="Z25" i="1"/>
  <c r="Y25" i="1"/>
  <c r="Z33" i="1"/>
  <c r="Y33" i="1"/>
  <c r="Z41" i="1"/>
  <c r="Y41" i="1"/>
  <c r="Z49" i="1"/>
  <c r="Y49" i="1"/>
  <c r="Z77" i="1"/>
  <c r="Y77" i="1"/>
  <c r="Z85" i="1"/>
  <c r="Y85" i="1"/>
  <c r="Z93" i="1"/>
  <c r="Y93" i="1"/>
  <c r="Z101" i="1"/>
  <c r="Y101" i="1"/>
  <c r="Z109" i="1"/>
  <c r="Y109" i="1"/>
  <c r="Z117" i="1"/>
  <c r="Y117" i="1"/>
  <c r="Y130" i="1"/>
  <c r="Z133" i="1"/>
  <c r="Y133" i="1"/>
  <c r="AA141" i="1"/>
  <c r="Y141" i="1"/>
  <c r="AA149" i="1"/>
  <c r="Y149" i="1"/>
  <c r="AA157" i="1"/>
  <c r="Y157" i="1"/>
  <c r="AA165" i="1"/>
  <c r="Y165" i="1"/>
  <c r="AA173" i="1"/>
  <c r="Y173" i="1"/>
  <c r="Y230" i="1"/>
  <c r="Z432" i="1"/>
  <c r="Y432" i="1"/>
  <c r="Y461" i="1"/>
  <c r="Y465" i="1"/>
  <c r="Y469" i="1"/>
  <c r="AA473" i="1"/>
  <c r="Y473" i="1"/>
  <c r="Y477" i="1"/>
  <c r="Z481" i="1"/>
  <c r="Y481" i="1"/>
  <c r="Y485" i="1"/>
  <c r="Z489" i="1"/>
  <c r="Y489" i="1"/>
  <c r="AD568" i="1"/>
  <c r="Y568" i="1"/>
  <c r="Z571" i="1"/>
  <c r="Y571" i="1"/>
  <c r="AA575" i="1"/>
  <c r="Y575" i="1"/>
  <c r="Y579" i="1"/>
  <c r="Y583" i="1"/>
  <c r="Z587" i="1"/>
  <c r="Y587" i="1"/>
  <c r="AA591" i="1"/>
  <c r="Y591" i="1"/>
  <c r="Y595" i="1"/>
  <c r="Z599" i="1"/>
  <c r="Y599" i="1"/>
  <c r="AA603" i="1"/>
  <c r="Y603" i="1"/>
  <c r="Z612" i="1"/>
  <c r="Y612" i="1"/>
  <c r="AA616" i="1"/>
  <c r="Y616" i="1"/>
  <c r="Y620" i="1"/>
  <c r="Z96" i="1"/>
  <c r="Y96" i="1"/>
  <c r="Z104" i="1"/>
  <c r="Y104" i="1"/>
  <c r="AA120" i="1"/>
  <c r="Y120" i="1"/>
  <c r="AA136" i="1"/>
  <c r="Y136" i="1"/>
  <c r="AA144" i="1"/>
  <c r="Y144" i="1"/>
  <c r="AA152" i="1"/>
  <c r="Y152" i="1"/>
  <c r="AA168" i="1"/>
  <c r="Y168" i="1"/>
  <c r="AA176" i="1"/>
  <c r="Y176" i="1"/>
  <c r="AA192" i="1"/>
  <c r="Y192" i="1"/>
  <c r="AA200" i="1"/>
  <c r="Y200" i="1"/>
  <c r="Z208" i="1"/>
  <c r="Y208" i="1"/>
  <c r="AA216" i="1"/>
  <c r="Y216" i="1"/>
  <c r="AA220" i="1"/>
  <c r="Y220" i="1"/>
  <c r="Z244" i="1"/>
  <c r="Y244" i="1"/>
  <c r="Z248" i="1"/>
  <c r="Y248" i="1"/>
  <c r="AA252" i="1"/>
  <c r="Y252" i="1"/>
  <c r="Z256" i="1"/>
  <c r="Y256" i="1"/>
  <c r="AA264" i="1"/>
  <c r="Y264" i="1"/>
  <c r="AA268" i="1"/>
  <c r="Y268" i="1"/>
  <c r="AA272" i="1"/>
  <c r="Y272" i="1"/>
  <c r="Z276" i="1"/>
  <c r="Y276" i="1"/>
  <c r="AA280" i="1"/>
  <c r="Y280" i="1"/>
  <c r="Z294" i="1"/>
  <c r="Y294" i="1"/>
  <c r="Z298" i="1"/>
  <c r="Y298" i="1"/>
  <c r="AA313" i="1"/>
  <c r="Y313" i="1"/>
  <c r="AA317" i="1"/>
  <c r="Y317" i="1"/>
  <c r="Z325" i="1"/>
  <c r="Y325" i="1"/>
  <c r="Z329" i="1"/>
  <c r="Y329" i="1"/>
  <c r="Z349" i="1"/>
  <c r="Y349" i="1"/>
  <c r="Z385" i="1"/>
  <c r="Y385" i="1"/>
  <c r="Z389" i="1"/>
  <c r="Y389" i="1"/>
  <c r="AA413" i="1"/>
  <c r="Y413" i="1"/>
  <c r="Z436" i="1"/>
  <c r="Y436" i="1"/>
  <c r="AA456" i="1"/>
  <c r="Y456" i="1"/>
  <c r="Z509" i="1"/>
  <c r="Y509" i="1"/>
  <c r="AA513" i="1"/>
  <c r="Y513" i="1"/>
  <c r="AA517" i="1"/>
  <c r="Y517" i="1"/>
  <c r="AA525" i="1"/>
  <c r="Y525" i="1"/>
  <c r="Z529" i="1"/>
  <c r="Y529" i="1"/>
  <c r="AA533" i="1"/>
  <c r="Y533" i="1"/>
  <c r="Z541" i="1"/>
  <c r="Y541" i="1"/>
  <c r="Z545" i="1"/>
  <c r="Y545" i="1"/>
  <c r="AA549" i="1"/>
  <c r="Y549" i="1"/>
  <c r="Z553" i="1"/>
  <c r="Y553" i="1"/>
  <c r="AA557" i="1"/>
  <c r="Y557" i="1"/>
  <c r="Z607" i="1"/>
  <c r="Y607" i="1"/>
  <c r="AA7" i="1"/>
  <c r="Y7" i="1"/>
  <c r="Z18" i="1"/>
  <c r="Y18" i="1"/>
  <c r="AA42" i="1"/>
  <c r="Y42" i="1"/>
  <c r="Z50" i="1"/>
  <c r="Y50" i="1"/>
  <c r="Z78" i="1"/>
  <c r="Y78" i="1"/>
  <c r="AA86" i="1"/>
  <c r="Y86" i="1"/>
  <c r="AA102" i="1"/>
  <c r="Y102" i="1"/>
  <c r="Z92" i="1"/>
  <c r="Y92" i="1"/>
  <c r="AA100" i="1"/>
  <c r="Y100" i="1"/>
  <c r="Z108" i="1"/>
  <c r="Y108" i="1"/>
  <c r="AA116" i="1"/>
  <c r="Y116" i="1"/>
  <c r="Z129" i="1"/>
  <c r="AA140" i="1"/>
  <c r="Y140" i="1"/>
  <c r="AA148" i="1"/>
  <c r="Y148" i="1"/>
  <c r="Z156" i="1"/>
  <c r="Y156" i="1"/>
  <c r="Z164" i="1"/>
  <c r="Y164" i="1"/>
  <c r="AA172" i="1"/>
  <c r="Y172" i="1"/>
  <c r="AA182" i="1"/>
  <c r="Y182" i="1"/>
  <c r="Z186" i="1"/>
  <c r="Y186" i="1"/>
  <c r="AA190" i="1"/>
  <c r="Y190" i="1"/>
  <c r="AA194" i="1"/>
  <c r="Y194" i="1"/>
  <c r="AA198" i="1"/>
  <c r="Y198" i="1"/>
  <c r="AA202" i="1"/>
  <c r="Y202" i="1"/>
  <c r="Z206" i="1"/>
  <c r="Y206" i="1"/>
  <c r="AA210" i="1"/>
  <c r="Y210" i="1"/>
  <c r="AA214" i="1"/>
  <c r="Y214" i="1"/>
  <c r="Z218" i="1"/>
  <c r="Y218" i="1"/>
  <c r="AA8" i="1"/>
  <c r="Y8" i="1"/>
  <c r="Z19" i="1"/>
  <c r="Y19" i="1"/>
  <c r="Z27" i="1"/>
  <c r="Y27" i="1"/>
  <c r="Z43" i="1"/>
  <c r="Y43" i="1"/>
  <c r="Z51" i="1"/>
  <c r="Y51" i="1"/>
  <c r="AA9" i="1"/>
  <c r="Y9" i="1"/>
  <c r="Z12" i="1"/>
  <c r="Y12" i="1"/>
  <c r="Z20" i="1"/>
  <c r="Y20" i="1"/>
  <c r="Z28" i="1"/>
  <c r="Y28" i="1"/>
  <c r="Z36" i="1"/>
  <c r="Y36" i="1"/>
  <c r="AA52" i="1"/>
  <c r="Y52" i="1"/>
  <c r="Z80" i="1"/>
  <c r="Y80" i="1"/>
  <c r="AA88" i="1"/>
  <c r="Y88" i="1"/>
  <c r="AA112" i="1"/>
  <c r="Y112" i="1"/>
  <c r="Y4" i="1"/>
  <c r="AA15" i="1"/>
  <c r="Y15" i="1"/>
  <c r="Y23" i="1"/>
  <c r="AA31" i="1"/>
  <c r="Y31" i="1"/>
  <c r="Z39" i="1"/>
  <c r="Y39" i="1"/>
  <c r="AA47" i="1"/>
  <c r="Y47" i="1"/>
  <c r="Y55" i="1"/>
  <c r="Z75" i="1"/>
  <c r="Y75" i="1"/>
  <c r="AA83" i="1"/>
  <c r="Y83" i="1"/>
  <c r="Z91" i="1"/>
  <c r="Y91" i="1"/>
  <c r="AA99" i="1"/>
  <c r="Y99" i="1"/>
  <c r="Z107" i="1"/>
  <c r="Y107" i="1"/>
  <c r="AA115" i="1"/>
  <c r="Y115" i="1"/>
  <c r="AA139" i="1"/>
  <c r="Y139" i="1"/>
  <c r="Z147" i="1"/>
  <c r="Y147" i="1"/>
  <c r="AA155" i="1"/>
  <c r="Y155" i="1"/>
  <c r="Z163" i="1"/>
  <c r="Y163" i="1"/>
  <c r="AA171" i="1"/>
  <c r="Y171" i="1"/>
  <c r="AA229" i="1"/>
  <c r="Y229" i="1"/>
  <c r="Y424" i="1"/>
  <c r="O47" i="2"/>
  <c r="Q47" i="2" s="1"/>
  <c r="R47" i="2" s="1"/>
  <c r="S47" i="2" s="1"/>
  <c r="Y429" i="1"/>
  <c r="Z433" i="1"/>
  <c r="Y433" i="1"/>
  <c r="Y460" i="1"/>
  <c r="Z464" i="1"/>
  <c r="Y464" i="1"/>
  <c r="Y468" i="1"/>
  <c r="Z472" i="1"/>
  <c r="Y472" i="1"/>
  <c r="Y476" i="1"/>
  <c r="AA480" i="1"/>
  <c r="Y480" i="1"/>
  <c r="Y484" i="1"/>
  <c r="Y488" i="1"/>
  <c r="AA498" i="1"/>
  <c r="Y498" i="1"/>
  <c r="AA570" i="1"/>
  <c r="Y570" i="1"/>
  <c r="Y574" i="1"/>
  <c r="Y578" i="1"/>
  <c r="Y582" i="1"/>
  <c r="Z586" i="1"/>
  <c r="Y586" i="1"/>
  <c r="Y590" i="1"/>
  <c r="AA594" i="1"/>
  <c r="Y594" i="1"/>
  <c r="AA598" i="1"/>
  <c r="Y598" i="1"/>
  <c r="Y602" i="1"/>
  <c r="Y606" i="1"/>
  <c r="Z611" i="1"/>
  <c r="Y611" i="1"/>
  <c r="Z615" i="1"/>
  <c r="Y615" i="1"/>
  <c r="Z619" i="1"/>
  <c r="Y619" i="1"/>
  <c r="AN279" i="1"/>
  <c r="Z279" i="1" s="1"/>
  <c r="AA11" i="1"/>
  <c r="Z210" i="1"/>
  <c r="Z100" i="1"/>
  <c r="AA208" i="1"/>
  <c r="AA53" i="1"/>
  <c r="AN483" i="1"/>
  <c r="Z483" i="1" s="1"/>
  <c r="AA471" i="1"/>
  <c r="Z110" i="1"/>
  <c r="AA209" i="1"/>
  <c r="Z451" i="1"/>
  <c r="Z199" i="1"/>
  <c r="AA445" i="1"/>
  <c r="Z326" i="1"/>
  <c r="AA156" i="1"/>
  <c r="AB236" i="1"/>
  <c r="Y236" i="1" s="1"/>
  <c r="Z459" i="1"/>
  <c r="O24" i="2"/>
  <c r="Q24" i="2" s="1"/>
  <c r="R24" i="2" s="1"/>
  <c r="S24" i="2" s="1"/>
  <c r="Z487" i="1"/>
  <c r="AA572" i="1"/>
  <c r="Z598" i="1"/>
  <c r="AA612" i="1"/>
  <c r="Z118" i="1"/>
  <c r="Z307" i="1"/>
  <c r="AA329" i="1"/>
  <c r="AA96" i="1"/>
  <c r="AA103" i="1"/>
  <c r="AA185" i="1"/>
  <c r="AA334" i="1"/>
  <c r="Z88" i="1"/>
  <c r="AA193" i="1"/>
  <c r="AA206" i="1"/>
  <c r="AA327" i="1"/>
  <c r="AA442" i="1"/>
  <c r="Z371" i="1"/>
  <c r="Z408" i="1"/>
  <c r="Z595" i="1"/>
  <c r="AN285" i="1"/>
  <c r="Z285" i="1" s="1"/>
  <c r="AA25" i="1"/>
  <c r="Z310" i="1"/>
  <c r="AA298" i="1"/>
  <c r="AA424" i="1"/>
  <c r="AA608" i="1"/>
  <c r="Z31" i="1"/>
  <c r="Z158" i="1"/>
  <c r="AA205" i="1"/>
  <c r="AA246" i="1"/>
  <c r="AA349" i="1"/>
  <c r="AA416" i="1"/>
  <c r="Z429" i="1"/>
  <c r="Z473" i="1"/>
  <c r="AA586" i="1"/>
  <c r="AA611" i="1"/>
  <c r="AA541" i="1"/>
  <c r="AA555" i="1"/>
  <c r="Z112" i="1"/>
  <c r="Z221" i="1"/>
  <c r="AA244" i="1"/>
  <c r="AA274" i="1"/>
  <c r="AA314" i="1"/>
  <c r="Z375" i="1"/>
  <c r="Z603" i="1"/>
  <c r="Z40" i="1"/>
  <c r="AA78" i="1"/>
  <c r="AA80" i="1"/>
  <c r="Z82" i="1"/>
  <c r="AA92" i="1"/>
  <c r="AA164" i="1"/>
  <c r="Z198" i="1"/>
  <c r="AN225" i="1"/>
  <c r="Z267" i="1"/>
  <c r="AA342" i="1"/>
  <c r="AA453" i="1"/>
  <c r="AA2" i="1"/>
  <c r="AA104" i="1"/>
  <c r="AA207" i="1"/>
  <c r="Z252" i="1"/>
  <c r="AA257" i="1"/>
  <c r="AA303" i="1"/>
  <c r="AA318" i="1"/>
  <c r="Z330" i="1"/>
  <c r="AN343" i="1"/>
  <c r="Z343" i="1" s="1"/>
  <c r="AA418" i="1"/>
  <c r="Z480" i="1"/>
  <c r="Z513" i="1"/>
  <c r="Z533" i="1"/>
  <c r="Z538" i="1"/>
  <c r="AN549" i="1"/>
  <c r="Z549" i="1" s="1"/>
  <c r="AA573" i="1"/>
  <c r="AA558" i="1"/>
  <c r="AN558" i="1"/>
  <c r="Z558" i="1" s="1"/>
  <c r="Z16" i="1"/>
  <c r="AA16" i="1"/>
  <c r="Z309" i="1"/>
  <c r="AA309" i="1"/>
  <c r="AA346" i="1"/>
  <c r="AA107" i="1"/>
  <c r="AA21" i="1"/>
  <c r="AA28" i="1"/>
  <c r="AA75" i="1"/>
  <c r="AA197" i="1"/>
  <c r="Z197" i="1"/>
  <c r="AA248" i="1"/>
  <c r="Z388" i="1"/>
  <c r="AA388" i="1"/>
  <c r="AA147" i="1"/>
  <c r="AA293" i="1"/>
  <c r="Z321" i="1"/>
  <c r="AA321" i="1"/>
  <c r="AA345" i="1"/>
  <c r="Z345" i="1"/>
  <c r="AA24" i="1"/>
  <c r="Z247" i="1"/>
  <c r="AA247" i="1"/>
  <c r="Z339" i="1"/>
  <c r="AA339" i="1"/>
  <c r="AA76" i="1"/>
  <c r="Z76" i="1"/>
  <c r="AA108" i="1"/>
  <c r="AA201" i="1"/>
  <c r="AN231" i="1"/>
  <c r="Z231" i="1" s="1"/>
  <c r="Z272" i="1"/>
  <c r="Z275" i="1"/>
  <c r="AA276" i="1"/>
  <c r="Z284" i="1"/>
  <c r="AA284" i="1"/>
  <c r="AA325" i="1"/>
  <c r="AA405" i="1"/>
  <c r="Z405" i="1"/>
  <c r="Z448" i="1"/>
  <c r="AA448" i="1"/>
  <c r="AA4" i="1"/>
  <c r="Z4" i="1"/>
  <c r="AA35" i="1"/>
  <c r="Z35" i="1"/>
  <c r="Z243" i="1"/>
  <c r="AA243" i="1"/>
  <c r="Z295" i="1"/>
  <c r="AA12" i="1"/>
  <c r="Z24" i="1"/>
  <c r="AA46" i="1"/>
  <c r="Z130" i="1"/>
  <c r="AA130" i="1"/>
  <c r="AA135" i="1"/>
  <c r="Z44" i="1"/>
  <c r="AA44" i="1"/>
  <c r="Z120" i="1"/>
  <c r="AA213" i="1"/>
  <c r="Z213" i="1"/>
  <c r="Z271" i="1"/>
  <c r="AA338" i="1"/>
  <c r="Z338" i="1"/>
  <c r="Z8" i="1"/>
  <c r="AA20" i="1"/>
  <c r="AA39" i="1"/>
  <c r="Z46" i="1"/>
  <c r="AA48" i="1"/>
  <c r="Z42" i="1"/>
  <c r="Z111" i="1"/>
  <c r="AA111" i="1"/>
  <c r="AA260" i="1"/>
  <c r="Z260" i="1"/>
  <c r="AA311" i="1"/>
  <c r="Z317" i="1"/>
  <c r="AA323" i="1"/>
  <c r="Z323" i="1"/>
  <c r="AA382" i="1"/>
  <c r="Z382" i="1"/>
  <c r="Z404" i="1"/>
  <c r="AA404" i="1"/>
  <c r="Z470" i="1"/>
  <c r="AA470" i="1"/>
  <c r="Z523" i="1"/>
  <c r="AA523" i="1"/>
  <c r="AA465" i="1"/>
  <c r="Z465" i="1"/>
  <c r="AA184" i="1"/>
  <c r="Z184" i="1"/>
  <c r="Z242" i="1"/>
  <c r="AA242" i="1"/>
  <c r="AA259" i="1"/>
  <c r="Z259" i="1"/>
  <c r="Z264" i="1"/>
  <c r="Z299" i="1"/>
  <c r="AA299" i="1"/>
  <c r="AA306" i="1"/>
  <c r="AA308" i="1"/>
  <c r="AA315" i="1"/>
  <c r="AA322" i="1"/>
  <c r="Z322" i="1"/>
  <c r="AA344" i="1"/>
  <c r="AN416" i="1"/>
  <c r="Z416" i="1" s="1"/>
  <c r="AD570" i="1"/>
  <c r="AA584" i="1"/>
  <c r="Z605" i="1"/>
  <c r="K4" i="30"/>
  <c r="K42" i="30" s="1"/>
  <c r="M42" i="30" s="1"/>
  <c r="Z194" i="1"/>
  <c r="Z200" i="1"/>
  <c r="AL226" i="1"/>
  <c r="AN230" i="1"/>
  <c r="Z230" i="1" s="1"/>
  <c r="AA378" i="1"/>
  <c r="Z384" i="1"/>
  <c r="AA481" i="1"/>
  <c r="AA510" i="1"/>
  <c r="Z520" i="1"/>
  <c r="Z575" i="1"/>
  <c r="AA595" i="1"/>
  <c r="Z618" i="1"/>
  <c r="AA619" i="1"/>
  <c r="AA509" i="1"/>
  <c r="Z517" i="1"/>
  <c r="Z518" i="1"/>
  <c r="AN550" i="1"/>
  <c r="Z550" i="1" s="1"/>
  <c r="Z562" i="1"/>
  <c r="O60" i="2" s="1"/>
  <c r="Q60" i="2" s="1"/>
  <c r="R60" i="2" s="1"/>
  <c r="S60" i="2" s="1"/>
  <c r="Z591" i="1"/>
  <c r="Z592" i="1"/>
  <c r="AD594" i="1"/>
  <c r="O44" i="2"/>
  <c r="Q44" i="2" s="1"/>
  <c r="R44" i="2" s="1"/>
  <c r="S44" i="2" s="1"/>
  <c r="Z506" i="1"/>
  <c r="AA507" i="1"/>
  <c r="Z516" i="1"/>
  <c r="Z542" i="1"/>
  <c r="Z581" i="1"/>
  <c r="Z610" i="1"/>
  <c r="AA614" i="1"/>
  <c r="AA492" i="1"/>
  <c r="AN346" i="1"/>
  <c r="Z346" i="1" s="1"/>
  <c r="Z475" i="1"/>
  <c r="AA254" i="1"/>
  <c r="AN287" i="1"/>
  <c r="Z287" i="1" s="1"/>
  <c r="Z368" i="1"/>
  <c r="AA400" i="1"/>
  <c r="Z456" i="1"/>
  <c r="AD459" i="1"/>
  <c r="Z525" i="1"/>
  <c r="AA571" i="1"/>
  <c r="AA587" i="1"/>
  <c r="AA588" i="1"/>
  <c r="Z250" i="1"/>
  <c r="AA250" i="1"/>
  <c r="Z312" i="1"/>
  <c r="AA312" i="1"/>
  <c r="AA251" i="1"/>
  <c r="AA263" i="1"/>
  <c r="Z265" i="1"/>
  <c r="AA265" i="1"/>
  <c r="Z266" i="1"/>
  <c r="Z278" i="1"/>
  <c r="Z280" i="1"/>
  <c r="Z320" i="1"/>
  <c r="Z337" i="1"/>
  <c r="AA337" i="1"/>
  <c r="AA380" i="1"/>
  <c r="Z380" i="1"/>
  <c r="Z381" i="1"/>
  <c r="AA381" i="1"/>
  <c r="Z415" i="1"/>
  <c r="AA415" i="1"/>
  <c r="Z462" i="1"/>
  <c r="AA5" i="1"/>
  <c r="AA32" i="1"/>
  <c r="AA36" i="1"/>
  <c r="Z38" i="1"/>
  <c r="AA43" i="1"/>
  <c r="AA56" i="1"/>
  <c r="O13" i="2"/>
  <c r="Q13" i="2" s="1"/>
  <c r="R13" i="2" s="1"/>
  <c r="S13" i="2" s="1"/>
  <c r="Z79" i="1"/>
  <c r="Z84" i="1"/>
  <c r="AA89" i="1"/>
  <c r="AA93" i="1"/>
  <c r="AA97" i="1"/>
  <c r="Z114" i="1"/>
  <c r="Z160" i="1"/>
  <c r="Z168" i="1"/>
  <c r="Z176" i="1"/>
  <c r="AA186" i="1"/>
  <c r="AN227" i="1"/>
  <c r="Z227" i="1" s="1"/>
  <c r="AA249" i="1"/>
  <c r="Z255" i="1"/>
  <c r="AA256" i="1"/>
  <c r="AA266" i="1"/>
  <c r="Z268" i="1"/>
  <c r="Z273" i="1"/>
  <c r="AA278" i="1"/>
  <c r="Z291" i="1"/>
  <c r="O33" i="2" s="1"/>
  <c r="Q33" i="2" s="1"/>
  <c r="R33" i="2" s="1"/>
  <c r="S33" i="2" s="1"/>
  <c r="Z319" i="1"/>
  <c r="AA320" i="1"/>
  <c r="Z335" i="1"/>
  <c r="AA423" i="1"/>
  <c r="Z423" i="1"/>
  <c r="Z443" i="1"/>
  <c r="AA443" i="1"/>
  <c r="Z461" i="1"/>
  <c r="AA462" i="1"/>
  <c r="AA463" i="1"/>
  <c r="Z463" i="1"/>
  <c r="AD471" i="1"/>
  <c r="AA488" i="1"/>
  <c r="AD585" i="1"/>
  <c r="Z220" i="1"/>
  <c r="AA38" i="1"/>
  <c r="AA50" i="1"/>
  <c r="Z52" i="1"/>
  <c r="AA84" i="1"/>
  <c r="Z86" i="1"/>
  <c r="AA114" i="1"/>
  <c r="Z116" i="1"/>
  <c r="AA121" i="1"/>
  <c r="Z155" i="1"/>
  <c r="AA160" i="1"/>
  <c r="Z170" i="1"/>
  <c r="Z172" i="1"/>
  <c r="AA218" i="1"/>
  <c r="AA258" i="1"/>
  <c r="AA270" i="1"/>
  <c r="AA358" i="1"/>
  <c r="Z358" i="1"/>
  <c r="O39" i="2" s="1"/>
  <c r="Q39" i="2" s="1"/>
  <c r="R39" i="2" s="1"/>
  <c r="S39" i="2" s="1"/>
  <c r="AA379" i="1"/>
  <c r="Z399" i="1"/>
  <c r="AA422" i="1"/>
  <c r="Z422" i="1"/>
  <c r="AA436" i="1"/>
  <c r="Z478" i="1"/>
  <c r="AA478" i="1"/>
  <c r="Z460" i="1"/>
  <c r="AA460" i="1"/>
  <c r="Z554" i="1"/>
  <c r="AA554" i="1"/>
  <c r="Z262" i="1"/>
  <c r="AA262" i="1"/>
  <c r="Z332" i="1"/>
  <c r="AA332" i="1"/>
  <c r="Z333" i="1"/>
  <c r="AA393" i="1"/>
  <c r="Z393" i="1"/>
  <c r="Y2" i="1"/>
  <c r="AA17" i="1"/>
  <c r="Z136" i="1"/>
  <c r="Z144" i="1"/>
  <c r="Z148" i="1"/>
  <c r="AA159" i="1"/>
  <c r="Z167" i="1"/>
  <c r="Z183" i="1"/>
  <c r="Z201" i="1"/>
  <c r="Z216" i="1"/>
  <c r="AA217" i="1"/>
  <c r="AL225" i="1"/>
  <c r="Z241" i="1"/>
  <c r="AA295" i="1"/>
  <c r="Z296" i="1"/>
  <c r="AA331" i="1"/>
  <c r="AA333" i="1"/>
  <c r="Z356" i="1"/>
  <c r="O38" i="2" s="1"/>
  <c r="Q38" i="2" s="1"/>
  <c r="R38" i="2" s="1"/>
  <c r="S38" i="2" s="1"/>
  <c r="AA356" i="1"/>
  <c r="Z406" i="1"/>
  <c r="AA406" i="1"/>
  <c r="Z181" i="1"/>
  <c r="Z182" i="1"/>
  <c r="Z189" i="1"/>
  <c r="Z190" i="1"/>
  <c r="Z191" i="1"/>
  <c r="Z192" i="1"/>
  <c r="Z202" i="1"/>
  <c r="Z215" i="1"/>
  <c r="AN219" i="1"/>
  <c r="Z219" i="1" s="1"/>
  <c r="AA241" i="1"/>
  <c r="AA297" i="1"/>
  <c r="Z305" i="1"/>
  <c r="AA305" i="1"/>
  <c r="Z353" i="1"/>
  <c r="O42" i="2" s="1"/>
  <c r="Q42" i="2" s="1"/>
  <c r="R42" i="2" s="1"/>
  <c r="S42" i="2" s="1"/>
  <c r="AA353" i="1"/>
  <c r="Z392" i="1"/>
  <c r="AA392" i="1"/>
  <c r="Z397" i="1"/>
  <c r="AA397" i="1"/>
  <c r="AA419" i="1"/>
  <c r="AA396" i="1"/>
  <c r="Z396" i="1"/>
  <c r="AA402" i="1"/>
  <c r="Z402" i="1"/>
  <c r="AA18" i="1"/>
  <c r="Z56" i="1"/>
  <c r="O6" i="2" s="1"/>
  <c r="Q6" i="2" s="1"/>
  <c r="R6" i="2" s="1"/>
  <c r="S6" i="2" s="1"/>
  <c r="Z14" i="1"/>
  <c r="Z138" i="1"/>
  <c r="Z140" i="1"/>
  <c r="Z150" i="1"/>
  <c r="Z152" i="1"/>
  <c r="AA49" i="1"/>
  <c r="Z214" i="1"/>
  <c r="AA283" i="1"/>
  <c r="AA286" i="1"/>
  <c r="Z374" i="1"/>
  <c r="AA374" i="1"/>
  <c r="AA455" i="1"/>
  <c r="Z455" i="1"/>
  <c r="AA467" i="1"/>
  <c r="Z467" i="1"/>
  <c r="AD474" i="1"/>
  <c r="Z476" i="1"/>
  <c r="Z491" i="1"/>
  <c r="AA491" i="1"/>
  <c r="Z313" i="1"/>
  <c r="Z452" i="1"/>
  <c r="AA452" i="1"/>
  <c r="AA466" i="1"/>
  <c r="Z499" i="1"/>
  <c r="AA499" i="1"/>
  <c r="AA524" i="1"/>
  <c r="Z524" i="1"/>
  <c r="AA458" i="1"/>
  <c r="Z458" i="1"/>
  <c r="AA505" i="1"/>
  <c r="AD516" i="1"/>
  <c r="AA553" i="1"/>
  <c r="AD598" i="1"/>
  <c r="AD608" i="1"/>
  <c r="AL224" i="1"/>
  <c r="AN282" i="1"/>
  <c r="Z282" i="1" s="1"/>
  <c r="Z383" i="1"/>
  <c r="AA383" i="1"/>
  <c r="Z391" i="1"/>
  <c r="Z401" i="1"/>
  <c r="AA401" i="1"/>
  <c r="AA414" i="1"/>
  <c r="AN424" i="1"/>
  <c r="Z424" i="1" s="1"/>
  <c r="AN493" i="1"/>
  <c r="Z493" i="1" s="1"/>
  <c r="AA512" i="1"/>
  <c r="Z512" i="1"/>
  <c r="AD542" i="1"/>
  <c r="Z390" i="1"/>
  <c r="Z413" i="1"/>
  <c r="Z498" i="1"/>
  <c r="O55" i="2" s="1"/>
  <c r="Q55" i="2" s="1"/>
  <c r="R55" i="2" s="1"/>
  <c r="S55" i="2" s="1"/>
  <c r="AD525" i="1"/>
  <c r="AD540" i="1"/>
  <c r="AN557" i="1"/>
  <c r="Z557" i="1" s="1"/>
  <c r="AA579" i="1"/>
  <c r="Z579" i="1"/>
  <c r="AD617" i="1"/>
  <c r="AD513" i="1"/>
  <c r="AD573" i="1"/>
  <c r="AA602" i="1"/>
  <c r="Z602" i="1"/>
  <c r="AA350" i="1"/>
  <c r="Z365" i="1"/>
  <c r="AA365" i="1"/>
  <c r="Z366" i="1"/>
  <c r="Z528" i="1"/>
  <c r="Z531" i="1"/>
  <c r="AA531" i="1"/>
  <c r="AA569" i="1"/>
  <c r="Z569" i="1"/>
  <c r="AA578" i="1"/>
  <c r="Z578" i="1"/>
  <c r="AA366" i="1"/>
  <c r="AA410" i="1"/>
  <c r="AN414" i="1"/>
  <c r="Z414" i="1" s="1"/>
  <c r="AD519" i="1"/>
  <c r="AD520" i="1"/>
  <c r="AA528" i="1"/>
  <c r="AA537" i="1"/>
  <c r="Z537" i="1"/>
  <c r="AD547" i="1"/>
  <c r="AD558" i="1"/>
  <c r="AA599" i="1"/>
  <c r="AA601" i="1"/>
  <c r="Z601" i="1"/>
  <c r="AD609" i="1"/>
  <c r="AA527" i="1"/>
  <c r="AA529" i="1"/>
  <c r="Z534" i="1"/>
  <c r="Z563" i="1"/>
  <c r="Z570" i="1"/>
  <c r="Z583" i="1"/>
  <c r="Z594" i="1"/>
  <c r="AA564" i="1"/>
  <c r="AA583" i="1"/>
  <c r="AA502" i="1"/>
  <c r="Z585" i="1"/>
  <c r="Q59" i="2"/>
  <c r="R59" i="2" s="1"/>
  <c r="S59" i="2" s="1"/>
  <c r="Q35" i="2"/>
  <c r="R35" i="2" s="1"/>
  <c r="S35" i="2" s="1"/>
  <c r="F45" i="30"/>
  <c r="H45" i="30" s="1"/>
  <c r="Q10" i="2"/>
  <c r="R10" i="2" s="1"/>
  <c r="S10" i="2" s="1"/>
  <c r="K45" i="30"/>
  <c r="H5" i="30"/>
  <c r="Q54" i="2"/>
  <c r="R54" i="2" s="1"/>
  <c r="S54" i="2" s="1"/>
  <c r="F6" i="30"/>
  <c r="G54" i="30"/>
  <c r="M11" i="30"/>
  <c r="G51" i="30"/>
  <c r="AA85" i="1"/>
  <c r="Z99" i="1"/>
  <c r="Z137" i="1"/>
  <c r="Z143" i="1"/>
  <c r="Z146" i="1"/>
  <c r="Z169" i="1"/>
  <c r="Z175" i="1"/>
  <c r="AA341" i="1"/>
  <c r="Z341" i="1"/>
  <c r="AA351" i="1"/>
  <c r="AA352" i="1"/>
  <c r="Z352" i="1"/>
  <c r="Z161" i="1"/>
  <c r="Z74" i="1"/>
  <c r="Z106" i="1"/>
  <c r="AA117" i="1"/>
  <c r="AA479" i="1"/>
  <c r="H8" i="30"/>
  <c r="L14" i="30"/>
  <c r="Z23" i="1"/>
  <c r="AA27" i="1"/>
  <c r="Z30" i="1"/>
  <c r="AA34" i="1"/>
  <c r="AA41" i="1"/>
  <c r="Z55" i="1"/>
  <c r="AA81" i="1"/>
  <c r="Z95" i="1"/>
  <c r="Z102" i="1"/>
  <c r="AA106" i="1"/>
  <c r="AA113" i="1"/>
  <c r="AA376" i="1"/>
  <c r="AA377" i="1"/>
  <c r="Z377" i="1"/>
  <c r="Z403" i="1"/>
  <c r="AA420" i="1"/>
  <c r="Z421" i="1"/>
  <c r="AA421" i="1"/>
  <c r="AA129" i="1"/>
  <c r="Y129" i="1" s="1"/>
  <c r="Z145" i="1"/>
  <c r="Z151" i="1"/>
  <c r="Z154" i="1"/>
  <c r="AA163" i="1"/>
  <c r="Z228" i="1"/>
  <c r="AA316" i="1"/>
  <c r="Z376" i="1"/>
  <c r="AA398" i="1"/>
  <c r="AA403" i="1"/>
  <c r="Z420" i="1"/>
  <c r="AD501" i="1"/>
  <c r="AD517" i="1"/>
  <c r="M9" i="30"/>
  <c r="L12" i="30"/>
  <c r="G43" i="30"/>
  <c r="H43" i="30" s="1"/>
  <c r="K48" i="30"/>
  <c r="AA6" i="1"/>
  <c r="Z9" i="1"/>
  <c r="Z15" i="1"/>
  <c r="AA19" i="1"/>
  <c r="Z22" i="1"/>
  <c r="AA26" i="1"/>
  <c r="AA33" i="1"/>
  <c r="Z47" i="1"/>
  <c r="AA51" i="1"/>
  <c r="Z54" i="1"/>
  <c r="O7" i="2"/>
  <c r="Q7" i="2" s="1"/>
  <c r="R7" i="2" s="1"/>
  <c r="S7" i="2" s="1"/>
  <c r="AA60" i="1"/>
  <c r="O11" i="2"/>
  <c r="Q11" i="2" s="1"/>
  <c r="R11" i="2" s="1"/>
  <c r="S11" i="2" s="1"/>
  <c r="Z71" i="1"/>
  <c r="AA73" i="1"/>
  <c r="Z87" i="1"/>
  <c r="AA91" i="1"/>
  <c r="Z94" i="1"/>
  <c r="AA98" i="1"/>
  <c r="AA105" i="1"/>
  <c r="Z119" i="1"/>
  <c r="Z139" i="1"/>
  <c r="Z142" i="1"/>
  <c r="AA145" i="1"/>
  <c r="AA151" i="1"/>
  <c r="Z165" i="1"/>
  <c r="Z171" i="1"/>
  <c r="Z174" i="1"/>
  <c r="AA228" i="1"/>
  <c r="Z229" i="1"/>
  <c r="AA245" i="1"/>
  <c r="AA253" i="1"/>
  <c r="AA261" i="1"/>
  <c r="AA269" i="1"/>
  <c r="AA277" i="1"/>
  <c r="AA294" i="1"/>
  <c r="AA304" i="1"/>
  <c r="AA336" i="1"/>
  <c r="AA347" i="1"/>
  <c r="AA348" i="1"/>
  <c r="Z348" i="1"/>
  <c r="AD480" i="1"/>
  <c r="AD618" i="1"/>
  <c r="M6" i="30"/>
  <c r="H10" i="30"/>
  <c r="AA468" i="1"/>
  <c r="Z468" i="1"/>
  <c r="Z477" i="1"/>
  <c r="AA477" i="1"/>
  <c r="AD482" i="1"/>
  <c r="Z539" i="1"/>
  <c r="AA539" i="1"/>
  <c r="AD572" i="1"/>
  <c r="Z6" i="1"/>
  <c r="AA23" i="1"/>
  <c r="AA30" i="1"/>
  <c r="AA37" i="1"/>
  <c r="AA55" i="1"/>
  <c r="AA77" i="1"/>
  <c r="AA109" i="1"/>
  <c r="AA29" i="1"/>
  <c r="Z83" i="1"/>
  <c r="Z90" i="1"/>
  <c r="AA101" i="1"/>
  <c r="Z115" i="1"/>
  <c r="Z131" i="1"/>
  <c r="AA133" i="1"/>
  <c r="Z153" i="1"/>
  <c r="Z162" i="1"/>
  <c r="AA188" i="1"/>
  <c r="Z188" i="1"/>
  <c r="AA196" i="1"/>
  <c r="Z196" i="1"/>
  <c r="AA204" i="1"/>
  <c r="Z204" i="1"/>
  <c r="AA212" i="1"/>
  <c r="Z212" i="1"/>
  <c r="Z235" i="1"/>
  <c r="O29" i="2" s="1"/>
  <c r="Q29" i="2" s="1"/>
  <c r="R29" i="2" s="1"/>
  <c r="S29" i="2" s="1"/>
  <c r="AA324" i="1"/>
  <c r="AA372" i="1"/>
  <c r="AA373" i="1"/>
  <c r="Z373" i="1"/>
  <c r="AA385" i="1"/>
  <c r="AA386" i="1"/>
  <c r="Z386" i="1"/>
  <c r="AD554" i="1"/>
  <c r="M5" i="30"/>
  <c r="H9" i="30"/>
  <c r="Z7" i="1"/>
  <c r="AA13" i="1"/>
  <c r="AA45" i="1"/>
  <c r="AA417" i="1"/>
  <c r="AA437" i="1"/>
  <c r="Z437" i="1"/>
  <c r="Z134" i="1"/>
  <c r="AA137" i="1"/>
  <c r="AA143" i="1"/>
  <c r="Z157" i="1"/>
  <c r="Z166" i="1"/>
  <c r="AA169" i="1"/>
  <c r="AA175" i="1"/>
  <c r="AA230" i="1"/>
  <c r="AA237" i="1"/>
  <c r="Z237" i="1"/>
  <c r="O28" i="2" s="1"/>
  <c r="Q28" i="2" s="1"/>
  <c r="R28" i="2" s="1"/>
  <c r="S28" i="2" s="1"/>
  <c r="AA290" i="1"/>
  <c r="Z290" i="1"/>
  <c r="AA328" i="1"/>
  <c r="Z351" i="1"/>
  <c r="O9" i="2"/>
  <c r="Q9" i="2" s="1"/>
  <c r="R9" i="2" s="1"/>
  <c r="S9" i="2" s="1"/>
  <c r="Z141" i="1"/>
  <c r="Z173" i="1"/>
  <c r="AA187" i="1"/>
  <c r="Z187" i="1"/>
  <c r="AA195" i="1"/>
  <c r="Z195" i="1"/>
  <c r="AA203" i="1"/>
  <c r="Z203" i="1"/>
  <c r="AA211" i="1"/>
  <c r="Z211" i="1"/>
  <c r="AA219" i="1"/>
  <c r="AA281" i="1"/>
  <c r="AA282" i="1"/>
  <c r="AA389" i="1"/>
  <c r="AA412" i="1"/>
  <c r="AA441" i="1"/>
  <c r="Z441" i="1"/>
  <c r="Z444" i="1"/>
  <c r="AA444" i="1"/>
  <c r="AA446" i="1"/>
  <c r="Z446" i="1"/>
  <c r="AA493" i="1"/>
  <c r="AN340" i="1"/>
  <c r="Z340" i="1" s="1"/>
  <c r="AA394" i="1"/>
  <c r="Z395" i="1"/>
  <c r="AA395" i="1"/>
  <c r="Z407" i="1"/>
  <c r="AA407" i="1"/>
  <c r="AA409" i="1"/>
  <c r="Z409" i="1"/>
  <c r="Z412" i="1"/>
  <c r="AN417" i="1"/>
  <c r="Z417" i="1" s="1"/>
  <c r="Z430" i="1"/>
  <c r="AA457" i="1"/>
  <c r="Z457" i="1"/>
  <c r="AN479" i="1"/>
  <c r="Z479" i="1" s="1"/>
  <c r="Z511" i="1"/>
  <c r="AA511" i="1"/>
  <c r="AD587" i="1"/>
  <c r="AD588" i="1"/>
  <c r="Z149" i="1"/>
  <c r="AA161" i="1"/>
  <c r="AA225" i="1"/>
  <c r="Z225" i="1"/>
  <c r="AD438" i="1"/>
  <c r="AA449" i="1"/>
  <c r="Z449" i="1"/>
  <c r="Z469" i="1"/>
  <c r="AA469" i="1"/>
  <c r="AA485" i="1"/>
  <c r="Z485" i="1"/>
  <c r="AA515" i="1"/>
  <c r="Z515" i="1"/>
  <c r="AA544" i="1"/>
  <c r="Z544" i="1"/>
  <c r="AA548" i="1"/>
  <c r="AN548" i="1"/>
  <c r="Z548" i="1" s="1"/>
  <c r="AN226" i="1"/>
  <c r="Z226" i="1" s="1"/>
  <c r="AA399" i="1"/>
  <c r="AA476" i="1"/>
  <c r="Z514" i="1"/>
  <c r="Z535" i="1"/>
  <c r="AA547" i="1"/>
  <c r="AA574" i="1"/>
  <c r="Z507" i="1"/>
  <c r="AA514" i="1"/>
  <c r="Z526" i="1"/>
  <c r="Z574" i="1"/>
  <c r="AA447" i="1"/>
  <c r="O17" i="2"/>
  <c r="Q17" i="2" s="1"/>
  <c r="R17" i="2" s="1"/>
  <c r="S17" i="2" s="1"/>
  <c r="Z447" i="1"/>
  <c r="AA454" i="1"/>
  <c r="AD467" i="1"/>
  <c r="AA472" i="1"/>
  <c r="Z482" i="1"/>
  <c r="AA482" i="1"/>
  <c r="AN484" i="1"/>
  <c r="Z484" i="1" s="1"/>
  <c r="Z488" i="1"/>
  <c r="AA508" i="1"/>
  <c r="Z519" i="1"/>
  <c r="AA519" i="1"/>
  <c r="Z551" i="1"/>
  <c r="AA597" i="1"/>
  <c r="Z597" i="1"/>
  <c r="AA387" i="1"/>
  <c r="AN411" i="1"/>
  <c r="Z411" i="1" s="1"/>
  <c r="AA489" i="1"/>
  <c r="Z543" i="1"/>
  <c r="AA552" i="1"/>
  <c r="O58" i="2"/>
  <c r="Q58" i="2" s="1"/>
  <c r="R58" i="2" s="1"/>
  <c r="S58" i="2" s="1"/>
  <c r="AA576" i="1"/>
  <c r="Z576" i="1"/>
  <c r="Z580" i="1"/>
  <c r="AA580" i="1"/>
  <c r="AA609" i="1"/>
  <c r="Z609" i="1"/>
  <c r="AA582" i="1"/>
  <c r="Z582" i="1"/>
  <c r="AA613" i="1"/>
  <c r="Z613" i="1"/>
  <c r="AA484" i="1"/>
  <c r="AA521" i="1"/>
  <c r="Z530" i="1"/>
  <c r="Z556" i="1"/>
  <c r="AA556" i="1"/>
  <c r="AD567" i="1"/>
  <c r="AD578" i="1"/>
  <c r="AD579" i="1"/>
  <c r="AA600" i="1"/>
  <c r="Z621" i="1"/>
  <c r="AA621" i="1"/>
  <c r="Z434" i="1"/>
  <c r="AA450" i="1"/>
  <c r="AA486" i="1"/>
  <c r="AA500" i="1"/>
  <c r="Z500" i="1"/>
  <c r="AD509" i="1"/>
  <c r="Z521" i="1"/>
  <c r="AA530" i="1"/>
  <c r="AA545" i="1"/>
  <c r="Z600" i="1"/>
  <c r="Z620" i="1"/>
  <c r="AA620" i="1"/>
  <c r="Z565" i="1"/>
  <c r="AA593" i="1"/>
  <c r="Z593" i="1"/>
  <c r="Z596" i="1"/>
  <c r="AA461" i="1"/>
  <c r="AA464" i="1"/>
  <c r="Z474" i="1"/>
  <c r="Z505" i="1"/>
  <c r="AA522" i="1"/>
  <c r="AA532" i="1"/>
  <c r="Z532" i="1"/>
  <c r="AA536" i="1"/>
  <c r="Z540" i="1"/>
  <c r="Z546" i="1"/>
  <c r="Z589" i="1"/>
  <c r="Z604" i="1"/>
  <c r="AA604" i="1"/>
  <c r="AA577" i="1"/>
  <c r="AA590" i="1"/>
  <c r="Z590" i="1"/>
  <c r="AA606" i="1"/>
  <c r="Z606" i="1"/>
  <c r="AA615" i="1"/>
  <c r="Z616" i="1"/>
  <c r="AA607" i="1"/>
  <c r="AA617" i="1"/>
  <c r="Z617" i="1"/>
  <c r="I1" i="15"/>
  <c r="I1" i="14" s="1"/>
  <c r="H4" i="15"/>
  <c r="O63" i="2"/>
  <c r="Q63" i="2" s="1"/>
  <c r="R63" i="2" s="1"/>
  <c r="S63" i="2" s="1"/>
  <c r="B13" i="30" l="1"/>
  <c r="B51" i="30" s="1"/>
  <c r="C51" i="30" s="1"/>
  <c r="O34" i="2"/>
  <c r="Q34" i="2" s="1"/>
  <c r="R34" i="2" s="1"/>
  <c r="S34" i="2" s="1"/>
  <c r="O61" i="2"/>
  <c r="Q61" i="2" s="1"/>
  <c r="R61" i="2" s="1"/>
  <c r="S61" i="2" s="1"/>
  <c r="O16" i="2"/>
  <c r="Q16" i="2" s="1"/>
  <c r="R16" i="2" s="1"/>
  <c r="S16" i="2" s="1"/>
  <c r="O36" i="2"/>
  <c r="Q36" i="2" s="1"/>
  <c r="R36" i="2" s="1"/>
  <c r="S36" i="2" s="1"/>
  <c r="O31" i="2"/>
  <c r="Q31" i="2" s="1"/>
  <c r="R31" i="2" s="1"/>
  <c r="S31" i="2" s="1"/>
  <c r="M4" i="30"/>
  <c r="O56" i="2"/>
  <c r="Q56" i="2" s="1"/>
  <c r="R56" i="2" s="1"/>
  <c r="S56" i="2" s="1"/>
  <c r="O3" i="2"/>
  <c r="Q3" i="2" s="1"/>
  <c r="R3" i="2" s="1"/>
  <c r="S3" i="2" s="1"/>
  <c r="O37" i="2"/>
  <c r="Q37" i="2" s="1"/>
  <c r="R37" i="2" s="1"/>
  <c r="S37" i="2" s="1"/>
  <c r="O27" i="2"/>
  <c r="Q27" i="2" s="1"/>
  <c r="R27" i="2" s="1"/>
  <c r="S27" i="2" s="1"/>
  <c r="O26" i="2"/>
  <c r="Q26" i="2" s="1"/>
  <c r="R26" i="2" s="1"/>
  <c r="S26" i="2" s="1"/>
  <c r="O32" i="2"/>
  <c r="Q32" i="2" s="1"/>
  <c r="R32" i="2" s="1"/>
  <c r="S32" i="2" s="1"/>
  <c r="O62" i="2"/>
  <c r="Q62" i="2" s="1"/>
  <c r="R62" i="2" s="1"/>
  <c r="S62" i="2" s="1"/>
  <c r="O46" i="2"/>
  <c r="Q46" i="2" s="1"/>
  <c r="R46" i="2" s="1"/>
  <c r="S46" i="2" s="1"/>
  <c r="O2" i="2"/>
  <c r="Q2" i="2" s="1"/>
  <c r="R2" i="2" s="1"/>
  <c r="S2" i="2" s="1"/>
  <c r="O22" i="2"/>
  <c r="Q22" i="2" s="1"/>
  <c r="R22" i="2" s="1"/>
  <c r="S22" i="2" s="1"/>
  <c r="O15" i="2"/>
  <c r="Q15" i="2" s="1"/>
  <c r="R15" i="2" s="1"/>
  <c r="S15" i="2" s="1"/>
  <c r="H6" i="30"/>
  <c r="F44" i="30"/>
  <c r="H44" i="30" s="1"/>
  <c r="O50" i="2"/>
  <c r="Q50" i="2" s="1"/>
  <c r="R50" i="2" s="1"/>
  <c r="S50" i="2" s="1"/>
  <c r="O45" i="2"/>
  <c r="Q45" i="2" s="1"/>
  <c r="R45" i="2" s="1"/>
  <c r="S45" i="2" s="1"/>
  <c r="M14" i="30"/>
  <c r="L52" i="30"/>
  <c r="L50" i="30"/>
  <c r="M12" i="30"/>
  <c r="F4" i="30"/>
  <c r="O57" i="2"/>
  <c r="Q57" i="2" s="1"/>
  <c r="R57" i="2" s="1"/>
  <c r="S57" i="2" s="1"/>
  <c r="O51" i="2"/>
  <c r="Q51" i="2" s="1"/>
  <c r="R51" i="2" s="1"/>
  <c r="S51" i="2" s="1"/>
  <c r="O4" i="2"/>
  <c r="Q4" i="2" s="1"/>
  <c r="R4" i="2" s="1"/>
  <c r="S4" i="2" s="1"/>
  <c r="H4" i="30" l="1"/>
  <c r="F42" i="30"/>
  <c r="H42" i="30" s="1"/>
  <c r="G12" i="30"/>
  <c r="B4" i="30"/>
  <c r="G50" i="30" l="1"/>
  <c r="H12" i="30"/>
  <c r="B11" i="30"/>
  <c r="B42" i="30"/>
  <c r="C42" i="30" s="1"/>
  <c r="B12" i="30" l="1"/>
  <c r="B50" i="30" s="1"/>
  <c r="C50" i="30" s="1"/>
  <c r="B49" i="30"/>
  <c r="C49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U30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  <author>admin</author>
  </authors>
  <commentList>
    <comment ref="G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 xr:uid="{00000000-0006-0000-0200-000004000000}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 xr:uid="{00000000-0006-0000-0200-000006000000}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 xr:uid="{00000000-0006-0000-02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</commentList>
</comments>
</file>

<file path=xl/sharedStrings.xml><?xml version="1.0" encoding="utf-8"?>
<sst xmlns="http://schemas.openxmlformats.org/spreadsheetml/2006/main" count="10454" uniqueCount="341">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</sst>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6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7" xfId="2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43" fontId="8" fillId="16" borderId="12" xfId="1" applyFont="1" applyFill="1" applyBorder="1">
      <alignment vertical="center"/>
    </xf>
    <xf numFmtId="0" fontId="6" fillId="16" borderId="7" xfId="0" applyFont="1" applyFill="1" applyBorder="1" applyAlignment="1"/>
    <xf numFmtId="43" fontId="6" fillId="16" borderId="7" xfId="2" applyFont="1" applyFill="1" applyBorder="1" applyAlignment="1">
      <alignment horizontal="center"/>
    </xf>
    <xf numFmtId="176" fontId="6" fillId="16" borderId="7" xfId="0" applyNumberFormat="1" applyFont="1" applyFill="1" applyBorder="1" applyAlignment="1">
      <alignment horizontal="center"/>
    </xf>
    <xf numFmtId="43" fontId="6" fillId="16" borderId="7" xfId="2" applyFont="1" applyFill="1" applyBorder="1" applyAlignment="1"/>
    <xf numFmtId="43" fontId="10" fillId="0" borderId="14" xfId="1" applyFont="1" applyBorder="1">
      <alignment vertical="center"/>
    </xf>
    <xf numFmtId="43" fontId="6" fillId="0" borderId="7" xfId="2" applyFont="1" applyBorder="1" applyAlignment="1"/>
    <xf numFmtId="43" fontId="6" fillId="17" borderId="0" xfId="2" applyFont="1" applyFill="1" applyAlignment="1"/>
    <xf numFmtId="176" fontId="6" fillId="0" borderId="0" xfId="0" applyNumberFormat="1" applyFont="1" applyAlignment="1"/>
    <xf numFmtId="176" fontId="6" fillId="0" borderId="7" xfId="0" applyNumberFormat="1" applyFont="1" applyBorder="1" applyAlignment="1"/>
    <xf numFmtId="176" fontId="6" fillId="16" borderId="7" xfId="0" applyNumberFormat="1" applyFont="1" applyFill="1" applyBorder="1" applyAlignment="1"/>
    <xf numFmtId="0" fontId="11" fillId="18" borderId="10" xfId="0" applyFont="1" applyFill="1" applyBorder="1" applyAlignment="1">
      <alignment horizontal="center" vertical="center"/>
    </xf>
    <xf numFmtId="43" fontId="11" fillId="18" borderId="11" xfId="2" applyFont="1" applyFill="1" applyBorder="1" applyAlignment="1">
      <alignment horizontal="center" vertical="center"/>
    </xf>
    <xf numFmtId="0" fontId="5" fillId="19" borderId="7" xfId="0" applyFont="1" applyFill="1" applyBorder="1" applyAlignment="1"/>
    <xf numFmtId="43" fontId="12" fillId="16" borderId="13" xfId="2" applyFont="1" applyFill="1" applyBorder="1">
      <alignment vertical="center"/>
    </xf>
    <xf numFmtId="43" fontId="12" fillId="0" borderId="15" xfId="2" applyFont="1" applyBorder="1">
      <alignment vertical="center"/>
    </xf>
    <xf numFmtId="0" fontId="11" fillId="20" borderId="10" xfId="0" applyFont="1" applyFill="1" applyBorder="1" applyAlignment="1">
      <alignment horizontal="center" vertical="center"/>
    </xf>
    <xf numFmtId="43" fontId="11" fillId="20" borderId="11" xfId="2" applyFont="1" applyFill="1" applyBorder="1" applyAlignment="1">
      <alignment horizontal="center" vertical="center"/>
    </xf>
    <xf numFmtId="43" fontId="8" fillId="20" borderId="11" xfId="2" applyFont="1" applyFill="1" applyBorder="1" applyAlignment="1">
      <alignment horizontal="center" vertical="center"/>
    </xf>
    <xf numFmtId="0" fontId="5" fillId="21" borderId="7" xfId="0" applyFont="1" applyFill="1" applyBorder="1" applyAlignment="1"/>
    <xf numFmtId="49" fontId="2" fillId="0" borderId="0" xfId="0" applyNumberFormat="1" applyFont="1" applyFill="1" applyBorder="1" applyAlignment="1">
      <alignment horizontal="left" vertical="top"/>
    </xf>
    <xf numFmtId="177" fontId="2" fillId="0" borderId="0" xfId="0" applyNumberFormat="1" applyFont="1" applyFill="1" applyBorder="1" applyAlignment="1">
      <alignment horizontal="left" vertical="top"/>
    </xf>
    <xf numFmtId="10" fontId="2" fillId="0" borderId="0" xfId="8" applyNumberFormat="1" applyFont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43" fontId="3" fillId="0" borderId="0" xfId="0" applyNumberFormat="1" applyFont="1" applyFill="1" applyBorder="1" applyAlignment="1">
      <alignment horizontal="left" vertical="top"/>
    </xf>
    <xf numFmtId="43" fontId="2" fillId="0" borderId="0" xfId="0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77" fontId="3" fillId="0" borderId="0" xfId="0" applyNumberFormat="1" applyFont="1" applyFill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77" fontId="3" fillId="10" borderId="0" xfId="0" applyNumberFormat="1" applyFont="1" applyFill="1" applyBorder="1" applyAlignment="1">
      <alignment horizontal="left" vertical="top"/>
    </xf>
    <xf numFmtId="10" fontId="3" fillId="10" borderId="0" xfId="3" applyNumberFormat="1" applyFont="1" applyFill="1" applyBorder="1" applyAlignment="1">
      <alignment horizontal="left" vertical="top"/>
    </xf>
    <xf numFmtId="0" fontId="3" fillId="10" borderId="0" xfId="3" applyNumberFormat="1" applyFont="1" applyFill="1" applyBorder="1" applyAlignment="1">
      <alignment horizontal="left" vertical="top"/>
    </xf>
    <xf numFmtId="49" fontId="3" fillId="10" borderId="0" xfId="2" applyNumberFormat="1" applyFont="1" applyFill="1" applyBorder="1" applyAlignment="1">
      <alignment horizontal="left" vertical="top"/>
    </xf>
    <xf numFmtId="43" fontId="3" fillId="10" borderId="0" xfId="2" applyFont="1" applyFill="1" applyBorder="1" applyAlignment="1">
      <alignment horizontal="left" vertical="top"/>
    </xf>
    <xf numFmtId="43" fontId="3" fillId="10" borderId="0" xfId="0" applyNumberFormat="1" applyFont="1" applyFill="1" applyBorder="1" applyAlignment="1">
      <alignment horizontal="left" vertical="top"/>
    </xf>
    <xf numFmtId="10" fontId="2" fillId="10" borderId="0" xfId="3" applyNumberFormat="1" applyFont="1" applyFill="1" applyBorder="1" applyAlignment="1">
      <alignment horizontal="left" vertical="top"/>
    </xf>
    <xf numFmtId="10" fontId="3" fillId="10" borderId="0" xfId="8" applyNumberFormat="1" applyFont="1" applyFill="1" applyBorder="1" applyAlignment="1">
      <alignment horizontal="left" vertical="top"/>
    </xf>
    <xf numFmtId="0" fontId="3" fillId="10" borderId="0" xfId="8" applyNumberFormat="1" applyFont="1" applyFill="1" applyBorder="1" applyAlignment="1">
      <alignment horizontal="left" vertical="top"/>
    </xf>
    <xf numFmtId="177" fontId="2" fillId="10" borderId="0" xfId="0" applyNumberFormat="1" applyFont="1" applyFill="1" applyBorder="1" applyAlignment="1">
      <alignment horizontal="left" vertical="top"/>
    </xf>
    <xf numFmtId="0" fontId="2" fillId="10" borderId="0" xfId="2" applyNumberFormat="1" applyFont="1" applyFill="1" applyBorder="1" applyAlignment="1">
      <alignment horizontal="left" vertical="top"/>
    </xf>
    <xf numFmtId="43" fontId="2" fillId="10" borderId="0" xfId="2" applyFont="1" applyFill="1" applyBorder="1" applyAlignment="1">
      <alignment horizontal="left" vertical="top"/>
    </xf>
    <xf numFmtId="43" fontId="2" fillId="10" borderId="0" xfId="0" applyNumberFormat="1" applyFont="1" applyFill="1" applyBorder="1" applyAlignment="1">
      <alignment horizontal="left" vertical="top"/>
    </xf>
    <xf numFmtId="0" fontId="2" fillId="10" borderId="0" xfId="0" applyNumberFormat="1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0" fontId="3" fillId="0" borderId="0" xfId="0" applyNumberFormat="1" applyFont="1" applyFill="1" applyBorder="1" applyAlignment="1">
      <alignment horizontal="left" vertical="top"/>
    </xf>
    <xf numFmtId="0" fontId="3" fillId="13" borderId="0" xfId="0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9" fontId="3" fillId="13" borderId="0" xfId="0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43" fontId="3" fillId="13" borderId="0" xfId="0" applyNumberFormat="1" applyFont="1" applyFill="1" applyBorder="1" applyAlignment="1">
      <alignment horizontal="left" vertical="top"/>
    </xf>
    <xf numFmtId="10" fontId="3" fillId="13" borderId="0" xfId="0" applyNumberFormat="1" applyFont="1" applyFill="1" applyBorder="1" applyAlignment="1">
      <alignment horizontal="left" vertical="top"/>
    </xf>
    <xf numFmtId="43" fontId="2" fillId="0" borderId="0" xfId="2" applyNumberFormat="1" applyFont="1" applyBorder="1" applyAlignment="1">
      <alignment horizontal="left" vertical="top"/>
    </xf>
    <xf numFmtId="43" fontId="2" fillId="0" borderId="0" xfId="9" applyNumberFormat="1" applyFont="1" applyBorder="1" applyAlignment="1">
      <alignment horizontal="left" vertical="top"/>
    </xf>
    <xf numFmtId="0" fontId="3" fillId="14" borderId="0" xfId="0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49" fontId="3" fillId="14" borderId="0" xfId="0" applyNumberFormat="1" applyFont="1" applyFill="1" applyBorder="1" applyAlignment="1">
      <alignment horizontal="left" vertical="top"/>
    </xf>
    <xf numFmtId="43" fontId="3" fillId="14" borderId="0" xfId="0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177" fontId="1" fillId="0" borderId="0" xfId="0" applyNumberFormat="1" applyFont="1" applyBorder="1" applyAlignment="1">
      <alignment horizontal="left" vertical="top"/>
    </xf>
    <xf numFmtId="43" fontId="1" fillId="0" borderId="0" xfId="0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2" fillId="0" borderId="0" xfId="0" applyNumberFormat="1" applyFont="1" applyBorder="1" applyAlignment="1">
      <alignment horizontal="left" vertical="top"/>
    </xf>
    <xf numFmtId="0" fontId="1" fillId="14" borderId="0" xfId="0" applyFont="1" applyFill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0" fontId="3" fillId="15" borderId="0" xfId="0" applyFont="1" applyFill="1" applyBorder="1" applyAlignment="1">
      <alignment horizontal="left" vertical="top"/>
    </xf>
    <xf numFmtId="10" fontId="3" fillId="15" borderId="0" xfId="3" applyNumberFormat="1" applyFont="1" applyFill="1" applyBorder="1" applyAlignment="1">
      <alignment horizontal="left" vertical="top"/>
    </xf>
    <xf numFmtId="0" fontId="3" fillId="15" borderId="0" xfId="3" applyNumberFormat="1" applyFont="1" applyFill="1" applyBorder="1" applyAlignment="1">
      <alignment horizontal="left" vertical="top"/>
    </xf>
    <xf numFmtId="43" fontId="3" fillId="15" borderId="0" xfId="2" applyFont="1" applyFill="1" applyBorder="1" applyAlignment="1">
      <alignment horizontal="left" vertical="top"/>
    </xf>
    <xf numFmtId="43" fontId="1" fillId="15" borderId="0" xfId="2" applyFont="1" applyFill="1" applyBorder="1" applyAlignment="1">
      <alignment horizontal="left" vertical="top"/>
    </xf>
    <xf numFmtId="49" fontId="1" fillId="9" borderId="0" xfId="0" applyNumberFormat="1" applyFont="1" applyFill="1" applyBorder="1" applyAlignment="1">
      <alignment horizontal="left" vertical="top"/>
    </xf>
    <xf numFmtId="0" fontId="1" fillId="9" borderId="0" xfId="0" applyFont="1" applyFill="1" applyBorder="1" applyAlignment="1">
      <alignment horizontal="left" vertical="top"/>
    </xf>
    <xf numFmtId="177" fontId="2" fillId="9" borderId="0" xfId="0" applyNumberFormat="1" applyFont="1" applyFill="1" applyBorder="1" applyAlignment="1">
      <alignment horizontal="left" vertical="top"/>
    </xf>
    <xf numFmtId="10" fontId="1" fillId="9" borderId="0" xfId="3" applyNumberFormat="1" applyFont="1" applyFill="1" applyBorder="1" applyAlignment="1">
      <alignment horizontal="left" vertical="top"/>
    </xf>
    <xf numFmtId="43" fontId="1" fillId="9" borderId="0" xfId="2" applyFont="1" applyFill="1" applyBorder="1" applyAlignment="1">
      <alignment horizontal="left" vertical="top"/>
    </xf>
    <xf numFmtId="43" fontId="1" fillId="9" borderId="0" xfId="0" applyNumberFormat="1" applyFont="1" applyFill="1" applyBorder="1" applyAlignment="1">
      <alignment horizontal="left" vertical="top"/>
    </xf>
    <xf numFmtId="178" fontId="3" fillId="0" borderId="0" xfId="0" applyNumberFormat="1" applyFont="1" applyBorder="1" applyAlignment="1">
      <alignment horizontal="left" vertical="top"/>
    </xf>
    <xf numFmtId="43" fontId="3" fillId="0" borderId="0" xfId="0" applyNumberFormat="1" applyFont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9" fontId="3" fillId="0" borderId="0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178" fontId="3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1" fillId="0" borderId="0" xfId="0" applyNumberFormat="1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9" fontId="1" fillId="0" borderId="0" xfId="0" applyNumberFormat="1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77" fontId="2" fillId="0" borderId="0" xfId="0" applyNumberFormat="1" applyFont="1" applyFill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1" fillId="0" borderId="0" xfId="0" applyNumberFormat="1" applyFont="1" applyFill="1" applyBorder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178" fontId="3" fillId="5" borderId="0" xfId="0" applyNumberFormat="1" applyFont="1" applyFill="1" applyBorder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43" fontId="1" fillId="8" borderId="0" xfId="0" applyNumberFormat="1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left" vertical="top"/>
    </xf>
    <xf numFmtId="178" fontId="1" fillId="0" borderId="0" xfId="0" applyNumberFormat="1" applyFont="1" applyBorder="1" applyAlignment="1">
      <alignment horizontal="left" vertical="top"/>
    </xf>
    <xf numFmtId="178" fontId="21" fillId="6" borderId="0" xfId="7" applyNumberFormat="1" applyFont="1" applyFill="1" applyBorder="1" applyAlignment="1">
      <alignment horizontal="left" vertical="top"/>
    </xf>
    <xf numFmtId="177" fontId="21" fillId="6" borderId="0" xfId="7" applyNumberFormat="1" applyFont="1" applyFill="1" applyBorder="1" applyAlignment="1">
      <alignment horizontal="left" vertical="top"/>
    </xf>
    <xf numFmtId="43" fontId="21" fillId="6" borderId="0" xfId="2" applyFont="1" applyFill="1" applyBorder="1" applyAlignment="1">
      <alignment horizontal="left" vertical="top" wrapText="1"/>
    </xf>
    <xf numFmtId="43" fontId="21" fillId="11" borderId="0" xfId="2" applyFont="1" applyFill="1" applyBorder="1" applyAlignment="1">
      <alignment horizontal="left" vertical="top" wrapText="1"/>
    </xf>
    <xf numFmtId="10" fontId="21" fillId="6" borderId="0" xfId="8" applyNumberFormat="1" applyFont="1" applyFill="1" applyBorder="1" applyAlignment="1">
      <alignment horizontal="left" vertical="top"/>
    </xf>
    <xf numFmtId="43" fontId="21" fillId="12" borderId="0" xfId="2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/>
    </xf>
    <xf numFmtId="10" fontId="3" fillId="8" borderId="0" xfId="3" applyNumberFormat="1" applyFont="1" applyFill="1" applyAlignment="1">
      <alignment horizontal="left" vertical="top"/>
    </xf>
    <xf numFmtId="0" fontId="3" fillId="8" borderId="0" xfId="0" applyNumberFormat="1" applyFont="1" applyFill="1" applyAlignment="1">
      <alignment horizontal="left" vertical="top"/>
    </xf>
    <xf numFmtId="43" fontId="3" fillId="8" borderId="0" xfId="2" applyFont="1" applyFill="1" applyAlignment="1">
      <alignment horizontal="left" vertical="top"/>
    </xf>
    <xf numFmtId="43" fontId="3" fillId="8" borderId="0" xfId="0" applyNumberFormat="1" applyFont="1" applyFill="1" applyAlignment="1">
      <alignment horizontal="left" vertical="top"/>
    </xf>
    <xf numFmtId="10" fontId="3" fillId="8" borderId="0" xfId="3" applyNumberFormat="1" applyFont="1" applyFill="1" applyBorder="1" applyAlignment="1">
      <alignment horizontal="left" vertical="top"/>
    </xf>
    <xf numFmtId="43" fontId="3" fillId="8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43" fontId="3" fillId="0" borderId="0" xfId="0" applyNumberFormat="1" applyFont="1" applyFill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6" borderId="4" xfId="7" applyNumberFormat="1" applyFont="1" applyFill="1" applyBorder="1" applyAlignment="1">
      <alignment horizontal="left" vertical="top"/>
    </xf>
    <xf numFmtId="0" fontId="3" fillId="6" borderId="5" xfId="7" applyNumberFormat="1" applyFont="1" applyFill="1" applyBorder="1" applyAlignment="1">
      <alignment horizontal="left" vertical="top"/>
    </xf>
    <xf numFmtId="49" fontId="3" fillId="6" borderId="5" xfId="7" applyNumberFormat="1" applyFont="1" applyFill="1" applyBorder="1" applyAlignment="1">
      <alignment horizontal="left" vertical="top"/>
    </xf>
    <xf numFmtId="43" fontId="3" fillId="6" borderId="5" xfId="2" applyFont="1" applyFill="1" applyBorder="1" applyAlignment="1">
      <alignment horizontal="left" vertical="top"/>
    </xf>
    <xf numFmtId="43" fontId="3" fillId="7" borderId="5" xfId="2" applyFont="1" applyFill="1" applyBorder="1" applyAlignment="1">
      <alignment horizontal="left" vertical="top"/>
    </xf>
    <xf numFmtId="176" fontId="3" fillId="7" borderId="5" xfId="2" applyNumberFormat="1" applyFont="1" applyFill="1" applyBorder="1" applyAlignment="1">
      <alignment horizontal="left" vertical="top"/>
    </xf>
    <xf numFmtId="0" fontId="3" fillId="7" borderId="5" xfId="7" applyNumberFormat="1" applyFont="1" applyFill="1" applyBorder="1" applyAlignment="1">
      <alignment horizontal="left" vertical="top"/>
    </xf>
    <xf numFmtId="0" fontId="3" fillId="7" borderId="6" xfId="7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77" fontId="1" fillId="0" borderId="7" xfId="0" applyNumberFormat="1" applyFont="1" applyFill="1" applyBorder="1" applyAlignment="1">
      <alignment horizontal="left" vertical="top"/>
    </xf>
    <xf numFmtId="49" fontId="1" fillId="0" borderId="7" xfId="0" applyNumberFormat="1" applyFont="1" applyFill="1" applyBorder="1" applyAlignment="1">
      <alignment horizontal="left" vertical="top"/>
    </xf>
    <xf numFmtId="43" fontId="1" fillId="0" borderId="7" xfId="2" applyFont="1" applyBorder="1" applyAlignment="1">
      <alignment horizontal="left" vertical="top"/>
    </xf>
    <xf numFmtId="10" fontId="1" fillId="0" borderId="7" xfId="3" applyNumberFormat="1" applyFont="1" applyBorder="1" applyAlignment="1">
      <alignment horizontal="left" vertical="top"/>
    </xf>
    <xf numFmtId="43" fontId="1" fillId="0" borderId="7" xfId="2" applyFont="1" applyFill="1" applyBorder="1" applyAlignment="1">
      <alignment horizontal="left" vertical="top"/>
    </xf>
    <xf numFmtId="43" fontId="1" fillId="0" borderId="7" xfId="0" applyNumberFormat="1" applyFont="1" applyFill="1" applyBorder="1" applyAlignment="1">
      <alignment horizontal="left" vertical="top"/>
    </xf>
    <xf numFmtId="176" fontId="1" fillId="0" borderId="7" xfId="2" applyNumberFormat="1" applyFont="1" applyFill="1" applyBorder="1" applyAlignment="1">
      <alignment horizontal="left" vertical="top"/>
    </xf>
    <xf numFmtId="176" fontId="1" fillId="0" borderId="7" xfId="0" applyNumberFormat="1" applyFont="1" applyFill="1" applyBorder="1" applyAlignment="1">
      <alignment horizontal="left" vertical="top"/>
    </xf>
    <xf numFmtId="9" fontId="1" fillId="0" borderId="7" xfId="3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43" fontId="1" fillId="0" borderId="7" xfId="0" applyNumberFormat="1" applyFont="1" applyBorder="1" applyAlignment="1">
      <alignment horizontal="left" vertical="top"/>
    </xf>
    <xf numFmtId="176" fontId="1" fillId="0" borderId="7" xfId="2" applyNumberFormat="1" applyFont="1" applyBorder="1" applyAlignment="1">
      <alignment horizontal="left" vertical="top"/>
    </xf>
    <xf numFmtId="43" fontId="1" fillId="0" borderId="7" xfId="11" applyFont="1" applyBorder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43" fontId="7" fillId="0" borderId="7" xfId="2" applyFont="1" applyBorder="1" applyAlignment="1">
      <alignment horizontal="left" vertical="top"/>
    </xf>
    <xf numFmtId="10" fontId="1" fillId="0" borderId="7" xfId="2" applyNumberFormat="1" applyFont="1" applyBorder="1" applyAlignment="1">
      <alignment horizontal="left" vertical="top"/>
    </xf>
    <xf numFmtId="10" fontId="1" fillId="0" borderId="7" xfId="6" applyNumberFormat="1" applyFont="1" applyBorder="1" applyAlignment="1">
      <alignment horizontal="left" vertical="top"/>
    </xf>
    <xf numFmtId="43" fontId="3" fillId="0" borderId="7" xfId="2" applyFont="1" applyBorder="1" applyAlignment="1">
      <alignment horizontal="left" vertical="top"/>
    </xf>
    <xf numFmtId="176" fontId="1" fillId="0" borderId="7" xfId="0" applyNumberFormat="1" applyFont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43" fontId="3" fillId="0" borderId="7" xfId="2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5" borderId="7" xfId="0" applyNumberFormat="1" applyFont="1" applyFill="1" applyBorder="1" applyAlignment="1">
      <alignment horizontal="left" vertical="top"/>
    </xf>
    <xf numFmtId="43" fontId="1" fillId="8" borderId="7" xfId="2" applyFont="1" applyFill="1" applyBorder="1" applyAlignment="1">
      <alignment horizontal="left" vertical="top"/>
    </xf>
    <xf numFmtId="176" fontId="1" fillId="8" borderId="7" xfId="0" applyNumberFormat="1" applyFont="1" applyFill="1" applyBorder="1" applyAlignment="1">
      <alignment horizontal="left" vertical="top"/>
    </xf>
    <xf numFmtId="9" fontId="1" fillId="8" borderId="7" xfId="3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76" fontId="1" fillId="0" borderId="0" xfId="2" applyNumberFormat="1" applyFont="1" applyAlignment="1">
      <alignment horizontal="left" vertical="top"/>
    </xf>
    <xf numFmtId="43" fontId="1" fillId="5" borderId="7" xfId="2" applyFont="1" applyFill="1" applyBorder="1" applyAlignment="1">
      <alignment horizontal="left" vertical="top"/>
    </xf>
    <xf numFmtId="10" fontId="1" fillId="5" borderId="7" xfId="4" applyNumberFormat="1" applyFont="1" applyFill="1" applyBorder="1" applyAlignment="1">
      <alignment horizontal="left" vertical="top"/>
    </xf>
    <xf numFmtId="43" fontId="1" fillId="5" borderId="7" xfId="0" applyNumberFormat="1" applyFont="1" applyFill="1" applyBorder="1" applyAlignment="1">
      <alignment horizontal="left" vertical="top"/>
    </xf>
    <xf numFmtId="10" fontId="1" fillId="0" borderId="7" xfId="4" applyNumberFormat="1" applyFont="1" applyFill="1" applyBorder="1" applyAlignment="1">
      <alignment horizontal="left" vertical="top"/>
    </xf>
    <xf numFmtId="43" fontId="21" fillId="6" borderId="0" xfId="2" applyFont="1" applyFill="1" applyBorder="1" applyAlignment="1">
      <alignment horizontal="left" vertical="top"/>
    </xf>
    <xf numFmtId="0" fontId="6" fillId="16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176" fontId="6" fillId="16" borderId="9" xfId="0" applyNumberFormat="1" applyFont="1" applyFill="1" applyBorder="1" applyAlignment="1">
      <alignment horizontal="center" vertical="center"/>
    </xf>
    <xf numFmtId="176" fontId="6" fillId="16" borderId="8" xfId="0" applyNumberFormat="1" applyFont="1" applyFill="1" applyBorder="1" applyAlignment="1">
      <alignment horizontal="center" vertical="center"/>
    </xf>
    <xf numFmtId="0" fontId="6" fillId="19" borderId="16" xfId="0" applyFont="1" applyFill="1" applyBorder="1" applyAlignment="1">
      <alignment horizontal="center"/>
    </xf>
    <xf numFmtId="176" fontId="6" fillId="0" borderId="9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6" fillId="21" borderId="16" xfId="0" applyFont="1" applyFill="1" applyBorder="1" applyAlignment="1">
      <alignment horizontal="center"/>
    </xf>
  </cellXfs>
  <cellStyles count="13">
    <cellStyle name="百分比" xfId="3" builtinId="5"/>
    <cellStyle name="百分比 2 2" xfId="4" xr:uid="{00000000-0005-0000-0000-000001000000}"/>
    <cellStyle name="百分比 2 3" xfId="6" xr:uid="{00000000-0005-0000-0000-000002000000}"/>
    <cellStyle name="百分比 3" xfId="8" xr:uid="{00000000-0005-0000-0000-000003000000}"/>
    <cellStyle name="常规" xfId="0" builtinId="0"/>
    <cellStyle name="常规 2" xfId="9" xr:uid="{00000000-0005-0000-0000-000005000000}"/>
    <cellStyle name="常规 3" xfId="10" xr:uid="{00000000-0005-0000-0000-000006000000}"/>
    <cellStyle name="好" xfId="7" builtinId="26"/>
    <cellStyle name="千位分隔" xfId="2" builtinId="3"/>
    <cellStyle name="千位分隔 2" xfId="11" xr:uid="{00000000-0005-0000-0000-000009000000}"/>
    <cellStyle name="千位分隔 2 2 2" xfId="1" xr:uid="{00000000-0005-0000-0000-00000A000000}"/>
    <cellStyle name="千位分隔 3" xfId="12" xr:uid="{00000000-0005-0000-0000-00000B000000}"/>
    <cellStyle name="千位分隔 7" xfId="5" xr:uid="{00000000-0005-0000-0000-00000C000000}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46930744.033037998</v>
      </c>
      <c r="C4"/>
      <c r="D4"/>
      <c r="E4" s="25" t="s">
        <v>9</v>
      </c>
      <c r="F4" s="26">
        <f>SUMIFS(客户表!Z:Z,客户表!K:K,E3)/1.06</f>
        <v>225453312.07834372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182019509.14152762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3496941.0962219434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222" t="s">
        <v>20</v>
      </c>
      <c r="F12" s="222"/>
      <c r="G12" s="28" t="e">
        <f>F4+F6+F7+F8+F9+F10</f>
        <v>#REF!</v>
      </c>
      <c r="H12" s="224" t="e">
        <f>G12-G13</f>
        <v>#REF!</v>
      </c>
      <c r="I12"/>
      <c r="J12" s="222" t="s">
        <v>20</v>
      </c>
      <c r="K12" s="222"/>
      <c r="L12" s="28" t="e">
        <f>L4-L7+L10+L9</f>
        <v>#REF!</v>
      </c>
      <c r="M12" s="224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223" t="s">
        <v>22</v>
      </c>
      <c r="F13" s="223"/>
      <c r="G13" s="28" t="e">
        <f>SUMIFS(#REF!,#REF!,'利润核对 -上月对比'!E3)</f>
        <v>#REF!</v>
      </c>
      <c r="H13" s="225"/>
      <c r="I13"/>
      <c r="J13" s="222" t="s">
        <v>22</v>
      </c>
      <c r="K13" s="222"/>
      <c r="L13" s="28" t="e">
        <f>SUMIFS(#REF!,#REF!,'利润核对 -上月对比'!J3)</f>
        <v>#REF!</v>
      </c>
      <c r="M13" s="228"/>
    </row>
    <row r="14" spans="1:13" s="18" customFormat="1" ht="14.5" x14ac:dyDescent="0.4">
      <c r="A14"/>
      <c r="B14"/>
      <c r="C14"/>
      <c r="D14"/>
      <c r="E14" s="223" t="s">
        <v>23</v>
      </c>
      <c r="F14" s="223"/>
      <c r="G14" s="30" t="e">
        <f>G5+G11</f>
        <v>#REF!</v>
      </c>
      <c r="H14" s="227" t="e">
        <f>G14-G15</f>
        <v>#REF!</v>
      </c>
      <c r="I14"/>
      <c r="J14" s="223" t="s">
        <v>23</v>
      </c>
      <c r="K14" s="223"/>
      <c r="L14" s="30" t="e">
        <f>L5+L6+L8+L11</f>
        <v>#REF!</v>
      </c>
      <c r="M14" s="227" t="e">
        <f>L14-L15</f>
        <v>#REF!</v>
      </c>
    </row>
    <row r="15" spans="1:13" ht="14.5" x14ac:dyDescent="0.4">
      <c r="B15" s="21"/>
      <c r="E15" s="223" t="s">
        <v>24</v>
      </c>
      <c r="F15" s="223"/>
      <c r="G15" s="30" t="e">
        <f>SUMIFS(#REF!,#REF!,'利润核对 -上月对比'!E3)</f>
        <v>#REF!</v>
      </c>
      <c r="H15" s="228"/>
      <c r="J15" s="223" t="s">
        <v>24</v>
      </c>
      <c r="K15" s="223"/>
      <c r="L15" s="30" t="e">
        <f>SUMIFS(#REF!,#REF!,'利润核对 -上月对比'!J3)</f>
        <v>#REF!</v>
      </c>
      <c r="M15" s="228"/>
    </row>
    <row r="16" spans="1:13" ht="14.5" x14ac:dyDescent="0.4">
      <c r="E16" s="226" t="s">
        <v>25</v>
      </c>
      <c r="F16" s="226"/>
      <c r="G16" s="31" t="e">
        <f>G13-G15</f>
        <v>#REF!</v>
      </c>
      <c r="H16" s="32"/>
      <c r="J16" s="226" t="s">
        <v>26</v>
      </c>
      <c r="K16" s="226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222" t="s">
        <v>20</v>
      </c>
      <c r="F31" s="222"/>
      <c r="G31" s="28">
        <v>198799418.64376301</v>
      </c>
      <c r="H31" s="224">
        <v>0</v>
      </c>
      <c r="J31" s="222" t="s">
        <v>20</v>
      </c>
      <c r="K31" s="222"/>
      <c r="L31" s="28">
        <v>5026216.8915401399</v>
      </c>
      <c r="M31" s="224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223" t="s">
        <v>22</v>
      </c>
      <c r="F32" s="223"/>
      <c r="G32" s="28">
        <v>198799418.64376301</v>
      </c>
      <c r="H32" s="225"/>
      <c r="J32" s="222" t="s">
        <v>22</v>
      </c>
      <c r="K32" s="222"/>
      <c r="L32" s="28">
        <v>5026216.8915401399</v>
      </c>
      <c r="M32" s="228"/>
    </row>
    <row r="33" spans="1:13" ht="14.5" x14ac:dyDescent="0.4">
      <c r="E33" s="223" t="s">
        <v>23</v>
      </c>
      <c r="F33" s="223"/>
      <c r="G33" s="30">
        <v>161970488.54718801</v>
      </c>
      <c r="H33" s="227">
        <v>0</v>
      </c>
      <c r="J33" s="223" t="s">
        <v>23</v>
      </c>
      <c r="K33" s="223"/>
      <c r="L33" s="30">
        <v>5026216.8902452802</v>
      </c>
      <c r="M33" s="227">
        <v>0</v>
      </c>
    </row>
    <row r="34" spans="1:13" ht="14.5" x14ac:dyDescent="0.4">
      <c r="B34" s="21"/>
      <c r="E34" s="223" t="s">
        <v>24</v>
      </c>
      <c r="F34" s="223"/>
      <c r="G34" s="30">
        <v>161970488.54718801</v>
      </c>
      <c r="H34" s="228"/>
      <c r="J34" s="223" t="s">
        <v>24</v>
      </c>
      <c r="K34" s="223"/>
      <c r="L34" s="30">
        <v>5026216.8902452802</v>
      </c>
      <c r="M34" s="228"/>
    </row>
    <row r="35" spans="1:13" ht="14.5" x14ac:dyDescent="0.4">
      <c r="E35" s="229" t="s">
        <v>25</v>
      </c>
      <c r="F35" s="229"/>
      <c r="G35" s="31">
        <v>36828930.096574903</v>
      </c>
      <c r="H35" s="32"/>
      <c r="J35" s="229" t="s">
        <v>26</v>
      </c>
      <c r="K35" s="229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7774879.120524399</v>
      </c>
      <c r="C42" s="38">
        <f>B42*1.06</f>
        <v>8241371.8677558629</v>
      </c>
      <c r="E42" s="25" t="s">
        <v>9</v>
      </c>
      <c r="F42" s="26">
        <f>F4-F23</f>
        <v>32026493.233368725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24608171.141509622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356557.02866535354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222" t="s">
        <v>20</v>
      </c>
      <c r="F50" s="222"/>
      <c r="G50" s="26" t="e">
        <f t="shared" si="6"/>
        <v>#REF!</v>
      </c>
      <c r="H50" s="224">
        <v>0</v>
      </c>
      <c r="J50" s="222" t="s">
        <v>20</v>
      </c>
      <c r="K50" s="222"/>
      <c r="L50" s="26" t="e">
        <f t="shared" si="9"/>
        <v>#REF!</v>
      </c>
      <c r="M50" s="224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223" t="s">
        <v>22</v>
      </c>
      <c r="F51" s="223"/>
      <c r="G51" s="26" t="e">
        <f t="shared" si="6"/>
        <v>#REF!</v>
      </c>
      <c r="H51" s="225"/>
      <c r="J51" s="222" t="s">
        <v>22</v>
      </c>
      <c r="K51" s="222"/>
      <c r="L51" s="26" t="e">
        <f t="shared" si="9"/>
        <v>#REF!</v>
      </c>
      <c r="M51" s="228"/>
    </row>
    <row r="52" spans="1:13" ht="14.5" x14ac:dyDescent="0.4">
      <c r="E52" s="223" t="s">
        <v>23</v>
      </c>
      <c r="F52" s="223"/>
      <c r="G52" s="26" t="e">
        <f t="shared" si="6"/>
        <v>#REF!</v>
      </c>
      <c r="H52" s="227">
        <v>0</v>
      </c>
      <c r="J52" s="223" t="s">
        <v>23</v>
      </c>
      <c r="K52" s="223"/>
      <c r="L52" s="26" t="e">
        <f t="shared" si="9"/>
        <v>#REF!</v>
      </c>
      <c r="M52" s="227">
        <v>0</v>
      </c>
    </row>
    <row r="53" spans="1:13" ht="14.5" x14ac:dyDescent="0.4">
      <c r="B53" s="21"/>
      <c r="E53" s="223" t="s">
        <v>24</v>
      </c>
      <c r="F53" s="223"/>
      <c r="G53" s="26" t="e">
        <f t="shared" si="6"/>
        <v>#REF!</v>
      </c>
      <c r="H53" s="228"/>
      <c r="J53" s="223" t="s">
        <v>24</v>
      </c>
      <c r="K53" s="223"/>
      <c r="L53" s="26" t="e">
        <f t="shared" si="9"/>
        <v>#REF!</v>
      </c>
      <c r="M53" s="228"/>
    </row>
    <row r="54" spans="1:13" ht="14.5" x14ac:dyDescent="0.4">
      <c r="E54" s="229" t="s">
        <v>25</v>
      </c>
      <c r="F54" s="229"/>
      <c r="G54" s="26" t="e">
        <f t="shared" si="6"/>
        <v>#REF!</v>
      </c>
      <c r="H54" s="32"/>
      <c r="J54" s="229" t="s">
        <v>26</v>
      </c>
      <c r="K54" s="229"/>
      <c r="L54" s="26" t="e">
        <f t="shared" si="9"/>
        <v>#REF!</v>
      </c>
      <c r="M54" s="32"/>
    </row>
  </sheetData>
  <mergeCells count="42">
    <mergeCell ref="M52:M53"/>
    <mergeCell ref="M12:M13"/>
    <mergeCell ref="M14:M15"/>
    <mergeCell ref="M31:M32"/>
    <mergeCell ref="M33:M34"/>
    <mergeCell ref="M50:M51"/>
    <mergeCell ref="E52:F52"/>
    <mergeCell ref="J52:K52"/>
    <mergeCell ref="E53:F53"/>
    <mergeCell ref="J53:K53"/>
    <mergeCell ref="E54:F54"/>
    <mergeCell ref="J54:K54"/>
    <mergeCell ref="H52:H53"/>
    <mergeCell ref="E35:F35"/>
    <mergeCell ref="J35:K35"/>
    <mergeCell ref="E50:F50"/>
    <mergeCell ref="J50:K50"/>
    <mergeCell ref="E51:F51"/>
    <mergeCell ref="J51:K51"/>
    <mergeCell ref="H50:H51"/>
    <mergeCell ref="E32:F32"/>
    <mergeCell ref="J32:K32"/>
    <mergeCell ref="E33:F33"/>
    <mergeCell ref="J33:K33"/>
    <mergeCell ref="E34:F34"/>
    <mergeCell ref="J34:K34"/>
    <mergeCell ref="H31:H32"/>
    <mergeCell ref="H33:H34"/>
    <mergeCell ref="E15:F15"/>
    <mergeCell ref="J15:K15"/>
    <mergeCell ref="E16:F16"/>
    <mergeCell ref="J16:K16"/>
    <mergeCell ref="E31:F31"/>
    <mergeCell ref="J31:K31"/>
    <mergeCell ref="H14:H15"/>
    <mergeCell ref="E12:F12"/>
    <mergeCell ref="J12:K12"/>
    <mergeCell ref="E13:F13"/>
    <mergeCell ref="J13:K13"/>
    <mergeCell ref="E14:F14"/>
    <mergeCell ref="J14:K14"/>
    <mergeCell ref="H12:H13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 xr:uid="{00000000-0009-0000-0000-000009000000}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N62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F579" sqref="AF579"/>
    </sheetView>
  </sheetViews>
  <sheetFormatPr defaultColWidth="9" defaultRowHeight="11.5" x14ac:dyDescent="0.25"/>
  <cols>
    <col min="1" max="1" width="8.6328125" style="159" customWidth="1"/>
    <col min="2" max="2" width="8.7265625" style="52" customWidth="1"/>
    <col min="3" max="3" width="11.453125" style="52" customWidth="1"/>
    <col min="4" max="4" width="11.26953125" style="52" customWidth="1"/>
    <col min="5" max="5" width="26.26953125" style="52" customWidth="1"/>
    <col min="6" max="6" width="44.1796875" style="52" customWidth="1"/>
    <col min="7" max="7" width="24.36328125" style="52" customWidth="1"/>
    <col min="8" max="8" width="36.08984375" style="52" customWidth="1"/>
    <col min="9" max="9" width="5.08984375" style="52" customWidth="1"/>
    <col min="10" max="10" width="12.08984375" style="52" customWidth="1"/>
    <col min="11" max="11" width="13.36328125" style="106" customWidth="1"/>
    <col min="12" max="12" width="25.36328125" style="52" customWidth="1"/>
    <col min="13" max="13" width="6" style="52" customWidth="1"/>
    <col min="14" max="14" width="6.90625" style="52" customWidth="1"/>
    <col min="15" max="17" width="9" style="52" customWidth="1"/>
    <col min="18" max="18" width="6.90625" style="52" customWidth="1"/>
    <col min="19" max="19" width="13.453125" style="52" customWidth="1"/>
    <col min="20" max="20" width="14.453125" style="52" customWidth="1"/>
    <col min="21" max="21" width="12.36328125" style="100" customWidth="1"/>
    <col min="22" max="22" width="16.453125" style="52" customWidth="1"/>
    <col min="23" max="23" width="13" style="52" customWidth="1"/>
    <col min="24" max="25" width="11.36328125" style="52" customWidth="1"/>
    <col min="26" max="26" width="12.7265625" style="52" customWidth="1"/>
    <col min="27" max="28" width="13" style="52" customWidth="1"/>
    <col min="29" max="29" width="12.453125" style="52" customWidth="1"/>
    <col min="30" max="30" width="13" style="52" customWidth="1"/>
    <col min="31" max="31" width="10.08984375" style="52" customWidth="1"/>
    <col min="32" max="32" width="8.08984375" style="52" customWidth="1"/>
    <col min="33" max="33" width="12.6328125" style="52" customWidth="1"/>
    <col min="34" max="34" width="14.08984375" style="52" customWidth="1"/>
    <col min="35" max="35" width="14.453125" style="52" customWidth="1"/>
    <col min="36" max="36" width="11.453125" style="52" customWidth="1"/>
    <col min="37" max="37" width="14.453125" style="52" customWidth="1"/>
    <col min="38" max="38" width="15.08984375" style="52" customWidth="1"/>
    <col min="39" max="39" width="14.453125" style="52" customWidth="1"/>
    <col min="40" max="40" width="17.36328125" style="52" customWidth="1"/>
    <col min="41" max="16384" width="9" style="52"/>
  </cols>
  <sheetData>
    <row r="1" spans="1:40" s="166" customFormat="1" ht="11.5" customHeight="1" x14ac:dyDescent="0.25">
      <c r="A1" s="160" t="s">
        <v>30</v>
      </c>
      <c r="B1" s="161" t="s">
        <v>31</v>
      </c>
      <c r="C1" s="161" t="s">
        <v>32</v>
      </c>
      <c r="D1" s="161" t="s">
        <v>33</v>
      </c>
      <c r="E1" s="161" t="s">
        <v>34</v>
      </c>
      <c r="F1" s="161" t="s">
        <v>35</v>
      </c>
      <c r="G1" s="161" t="s">
        <v>36</v>
      </c>
      <c r="H1" s="161" t="s">
        <v>37</v>
      </c>
      <c r="I1" s="161" t="s">
        <v>38</v>
      </c>
      <c r="J1" s="161" t="s">
        <v>39</v>
      </c>
      <c r="K1" s="161" t="s">
        <v>40</v>
      </c>
      <c r="L1" s="161" t="s">
        <v>41</v>
      </c>
      <c r="M1" s="161" t="s">
        <v>42</v>
      </c>
      <c r="N1" s="161" t="s">
        <v>43</v>
      </c>
      <c r="O1" s="161" t="s">
        <v>44</v>
      </c>
      <c r="P1" s="161" t="s">
        <v>45</v>
      </c>
      <c r="Q1" s="161" t="s">
        <v>46</v>
      </c>
      <c r="R1" s="161" t="s">
        <v>47</v>
      </c>
      <c r="S1" s="161" t="s">
        <v>48</v>
      </c>
      <c r="T1" s="161" t="s">
        <v>49</v>
      </c>
      <c r="U1" s="221" t="s">
        <v>50</v>
      </c>
      <c r="V1" s="161" t="s">
        <v>51</v>
      </c>
      <c r="W1" s="162" t="s">
        <v>52</v>
      </c>
      <c r="X1" s="162" t="s">
        <v>53</v>
      </c>
      <c r="Y1" s="162" t="s">
        <v>54</v>
      </c>
      <c r="Z1" s="163" t="s">
        <v>55</v>
      </c>
      <c r="AA1" s="162" t="s">
        <v>56</v>
      </c>
      <c r="AB1" s="162" t="s">
        <v>57</v>
      </c>
      <c r="AC1" s="164" t="s">
        <v>58</v>
      </c>
      <c r="AD1" s="162" t="s">
        <v>59</v>
      </c>
      <c r="AE1" s="162" t="s">
        <v>60</v>
      </c>
      <c r="AF1" s="162" t="s">
        <v>61</v>
      </c>
      <c r="AG1" s="164" t="s">
        <v>62</v>
      </c>
      <c r="AH1" s="164" t="s">
        <v>63</v>
      </c>
      <c r="AI1" s="165" t="s">
        <v>64</v>
      </c>
      <c r="AJ1" s="165" t="s">
        <v>65</v>
      </c>
      <c r="AK1" s="165" t="s">
        <v>66</v>
      </c>
      <c r="AL1" s="165" t="s">
        <v>67</v>
      </c>
      <c r="AM1" s="165" t="s">
        <v>68</v>
      </c>
      <c r="AN1" s="165" t="s">
        <v>69</v>
      </c>
    </row>
    <row r="2" spans="1:40" hidden="1" x14ac:dyDescent="0.25">
      <c r="A2" s="44" t="s">
        <v>70</v>
      </c>
      <c r="B2" s="45" t="s">
        <v>71</v>
      </c>
      <c r="C2" s="45" t="s">
        <v>72</v>
      </c>
      <c r="D2" s="45" t="s">
        <v>73</v>
      </c>
      <c r="E2" s="45" t="s">
        <v>74</v>
      </c>
      <c r="F2" s="45" t="s">
        <v>75</v>
      </c>
      <c r="G2" s="45" t="s">
        <v>76</v>
      </c>
      <c r="H2" s="45" t="s">
        <v>77</v>
      </c>
      <c r="I2" s="45" t="s">
        <v>78</v>
      </c>
      <c r="J2" s="45" t="s">
        <v>79</v>
      </c>
      <c r="K2" s="44" t="s">
        <v>3</v>
      </c>
      <c r="L2" s="45" t="s">
        <v>74</v>
      </c>
      <c r="M2" s="45"/>
      <c r="N2" s="45" t="s">
        <v>80</v>
      </c>
      <c r="O2" s="45" t="s">
        <v>81</v>
      </c>
      <c r="P2" s="46">
        <v>0</v>
      </c>
      <c r="Q2" s="47"/>
      <c r="R2" s="45"/>
      <c r="S2" s="48">
        <v>0</v>
      </c>
      <c r="T2" s="48">
        <v>0</v>
      </c>
      <c r="U2" s="49">
        <v>0</v>
      </c>
      <c r="V2" s="48">
        <f t="shared" ref="V2:V11" si="0">S2+T2-U2</f>
        <v>0</v>
      </c>
      <c r="W2" s="50">
        <f>U2*(1+AG2)/(1+AG2+P2)</f>
        <v>0</v>
      </c>
      <c r="X2" s="50"/>
      <c r="Y2" s="50">
        <f t="shared" ref="Y2:Y65" si="1">IF(W2-AB2&lt;0,0,IF(O2="返现",MAX(W2-AA2-AB2,0),MAX(W2-AB2,0)))</f>
        <v>0</v>
      </c>
      <c r="Z2" s="50">
        <f t="shared" ref="Z2:Z65" si="2">W2+X2+AN2</f>
        <v>0</v>
      </c>
      <c r="AA2" s="51">
        <f>U2-W2</f>
        <v>0</v>
      </c>
      <c r="AB2" s="48">
        <f>U2</f>
        <v>0</v>
      </c>
      <c r="AC2" s="46">
        <v>8.3699999999999997E-2</v>
      </c>
      <c r="AD2" s="45"/>
      <c r="AE2" s="45"/>
      <c r="AF2" s="45"/>
      <c r="AG2" s="46">
        <v>7.0000000000000007E-2</v>
      </c>
    </row>
    <row r="3" spans="1:40" hidden="1" x14ac:dyDescent="0.25">
      <c r="A3" s="44" t="s">
        <v>70</v>
      </c>
      <c r="B3" s="45" t="s">
        <v>3</v>
      </c>
      <c r="C3" s="45" t="s">
        <v>82</v>
      </c>
      <c r="D3" s="45" t="s">
        <v>83</v>
      </c>
      <c r="E3" s="45" t="s">
        <v>84</v>
      </c>
      <c r="F3" s="45" t="s">
        <v>84</v>
      </c>
      <c r="G3" s="45" t="s">
        <v>84</v>
      </c>
      <c r="H3" s="45" t="s">
        <v>77</v>
      </c>
      <c r="I3" s="45" t="s">
        <v>78</v>
      </c>
      <c r="J3" s="45" t="s">
        <v>79</v>
      </c>
      <c r="K3" s="44" t="s">
        <v>3</v>
      </c>
      <c r="L3" s="45" t="s">
        <v>85</v>
      </c>
      <c r="M3" s="45"/>
      <c r="N3" s="45" t="s">
        <v>86</v>
      </c>
      <c r="O3" s="45" t="s">
        <v>87</v>
      </c>
      <c r="P3" s="46">
        <v>0.02</v>
      </c>
      <c r="Q3" s="47"/>
      <c r="R3" s="45"/>
      <c r="S3" s="48">
        <v>0</v>
      </c>
      <c r="T3" s="48">
        <v>608000</v>
      </c>
      <c r="U3" s="48">
        <v>353168.49</v>
      </c>
      <c r="V3" s="48">
        <f t="shared" si="0"/>
        <v>254831.51</v>
      </c>
      <c r="W3" s="50">
        <v>353168.49</v>
      </c>
      <c r="X3" s="50"/>
      <c r="Y3" s="50">
        <f t="shared" si="1"/>
        <v>0</v>
      </c>
      <c r="Z3" s="50">
        <f t="shared" si="2"/>
        <v>353168.49</v>
      </c>
      <c r="AA3" s="51">
        <v>0</v>
      </c>
      <c r="AB3" s="50">
        <v>353168.49</v>
      </c>
      <c r="AC3" s="46">
        <v>8.3699999999999997E-2</v>
      </c>
      <c r="AD3" s="45"/>
      <c r="AE3" s="45"/>
      <c r="AF3" s="45"/>
      <c r="AG3" s="46">
        <v>0</v>
      </c>
    </row>
    <row r="4" spans="1:40" hidden="1" x14ac:dyDescent="0.25">
      <c r="A4" s="44" t="s">
        <v>70</v>
      </c>
      <c r="B4" s="45" t="s">
        <v>3</v>
      </c>
      <c r="C4" s="45" t="s">
        <v>82</v>
      </c>
      <c r="D4" s="45" t="s">
        <v>83</v>
      </c>
      <c r="E4" s="45" t="s">
        <v>88</v>
      </c>
      <c r="F4" s="45" t="s">
        <v>88</v>
      </c>
      <c r="G4" s="45" t="s">
        <v>88</v>
      </c>
      <c r="H4" s="45" t="s">
        <v>77</v>
      </c>
      <c r="I4" s="45" t="s">
        <v>78</v>
      </c>
      <c r="J4" s="45" t="s">
        <v>79</v>
      </c>
      <c r="K4" s="44" t="s">
        <v>3</v>
      </c>
      <c r="L4" s="45" t="s">
        <v>88</v>
      </c>
      <c r="M4" s="45"/>
      <c r="N4" s="45" t="s">
        <v>86</v>
      </c>
      <c r="O4" s="45" t="s">
        <v>81</v>
      </c>
      <c r="P4" s="46">
        <v>0</v>
      </c>
      <c r="Q4" s="47"/>
      <c r="R4" s="45" t="s">
        <v>89</v>
      </c>
      <c r="S4" s="48">
        <v>0</v>
      </c>
      <c r="T4" s="48">
        <v>822181.82</v>
      </c>
      <c r="U4" s="49">
        <v>50788.680000000903</v>
      </c>
      <c r="V4" s="48">
        <f t="shared" si="0"/>
        <v>771393.13999999908</v>
      </c>
      <c r="W4" s="50">
        <f t="shared" ref="W4:W9" si="3">U4*(1+AG4)/(1+AG4+P4)</f>
        <v>50788.680000000903</v>
      </c>
      <c r="X4" s="50"/>
      <c r="Y4" s="50">
        <f t="shared" si="1"/>
        <v>0</v>
      </c>
      <c r="Z4" s="50">
        <f t="shared" si="2"/>
        <v>50788.680000000903</v>
      </c>
      <c r="AA4" s="51">
        <f t="shared" ref="AA4:AA9" si="4">U4-W4</f>
        <v>0</v>
      </c>
      <c r="AB4" s="48">
        <f t="shared" ref="AB4:AB9" si="5">U4</f>
        <v>50788.680000000903</v>
      </c>
      <c r="AC4" s="46">
        <v>8.3699999999999997E-2</v>
      </c>
      <c r="AD4" s="45"/>
      <c r="AE4" s="45"/>
      <c r="AF4" s="45"/>
      <c r="AG4" s="46">
        <v>0.32</v>
      </c>
    </row>
    <row r="5" spans="1:40" hidden="1" x14ac:dyDescent="0.25">
      <c r="A5" s="44" t="s">
        <v>70</v>
      </c>
      <c r="B5" s="45" t="s">
        <v>71</v>
      </c>
      <c r="C5" s="45" t="s">
        <v>90</v>
      </c>
      <c r="D5" s="45" t="s">
        <v>91</v>
      </c>
      <c r="E5" s="45" t="s">
        <v>92</v>
      </c>
      <c r="F5" s="45" t="s">
        <v>93</v>
      </c>
      <c r="G5" s="45" t="s">
        <v>76</v>
      </c>
      <c r="H5" s="45" t="s">
        <v>77</v>
      </c>
      <c r="I5" s="45" t="s">
        <v>78</v>
      </c>
      <c r="J5" s="45" t="s">
        <v>79</v>
      </c>
      <c r="K5" s="44" t="s">
        <v>3</v>
      </c>
      <c r="L5" s="53" t="s">
        <v>92</v>
      </c>
      <c r="M5" s="46"/>
      <c r="N5" s="44" t="s">
        <v>86</v>
      </c>
      <c r="O5" s="45" t="s">
        <v>81</v>
      </c>
      <c r="P5" s="46">
        <v>0</v>
      </c>
      <c r="Q5" s="54"/>
      <c r="R5" s="45"/>
      <c r="S5" s="55">
        <v>14280.96</v>
      </c>
      <c r="T5" s="48"/>
      <c r="U5" s="48">
        <v>14273.92</v>
      </c>
      <c r="V5" s="48">
        <f t="shared" si="0"/>
        <v>7.0399999999990541</v>
      </c>
      <c r="W5" s="50">
        <f t="shared" si="3"/>
        <v>14273.92</v>
      </c>
      <c r="X5" s="50"/>
      <c r="Y5" s="50">
        <f t="shared" si="1"/>
        <v>0</v>
      </c>
      <c r="Z5" s="50">
        <f t="shared" si="2"/>
        <v>14273.92</v>
      </c>
      <c r="AA5" s="51">
        <f t="shared" si="4"/>
        <v>0</v>
      </c>
      <c r="AB5" s="48">
        <f t="shared" si="5"/>
        <v>14273.92</v>
      </c>
      <c r="AC5" s="46">
        <v>8.3699999999999997E-2</v>
      </c>
      <c r="AD5" s="46"/>
      <c r="AE5" s="46"/>
      <c r="AF5" s="45"/>
      <c r="AG5" s="46">
        <v>0</v>
      </c>
    </row>
    <row r="6" spans="1:40" hidden="1" x14ac:dyDescent="0.25">
      <c r="A6" s="44" t="s">
        <v>70</v>
      </c>
      <c r="B6" s="45" t="s">
        <v>71</v>
      </c>
      <c r="C6" s="45" t="s">
        <v>72</v>
      </c>
      <c r="D6" s="45" t="s">
        <v>73</v>
      </c>
      <c r="E6" s="45" t="s">
        <v>74</v>
      </c>
      <c r="F6" s="45" t="s">
        <v>75</v>
      </c>
      <c r="G6" s="45" t="s">
        <v>76</v>
      </c>
      <c r="H6" s="45" t="s">
        <v>77</v>
      </c>
      <c r="I6" s="45" t="s">
        <v>78</v>
      </c>
      <c r="J6" s="45" t="s">
        <v>79</v>
      </c>
      <c r="K6" s="44" t="s">
        <v>3</v>
      </c>
      <c r="L6" s="53" t="s">
        <v>74</v>
      </c>
      <c r="M6" s="46"/>
      <c r="N6" s="44" t="s">
        <v>86</v>
      </c>
      <c r="O6" s="45" t="s">
        <v>94</v>
      </c>
      <c r="P6" s="46">
        <v>0.03</v>
      </c>
      <c r="Q6" s="54"/>
      <c r="R6" s="45"/>
      <c r="S6" s="55">
        <v>106086.55</v>
      </c>
      <c r="T6" s="48"/>
      <c r="U6" s="48">
        <v>90187.47</v>
      </c>
      <c r="V6" s="48">
        <f t="shared" si="0"/>
        <v>15899.080000000002</v>
      </c>
      <c r="W6" s="50">
        <f t="shared" si="3"/>
        <v>87727.811727272725</v>
      </c>
      <c r="X6" s="50"/>
      <c r="Y6" s="50">
        <f t="shared" si="1"/>
        <v>0</v>
      </c>
      <c r="Z6" s="50">
        <f t="shared" si="2"/>
        <v>87727.811727272725</v>
      </c>
      <c r="AA6" s="51">
        <f t="shared" si="4"/>
        <v>2459.6582727272762</v>
      </c>
      <c r="AB6" s="48">
        <f t="shared" si="5"/>
        <v>90187.47</v>
      </c>
      <c r="AC6" s="46">
        <v>8.3699999999999997E-2</v>
      </c>
      <c r="AD6" s="46"/>
      <c r="AE6" s="46"/>
      <c r="AF6" s="45"/>
      <c r="AG6" s="46">
        <v>7.0000000000000007E-2</v>
      </c>
    </row>
    <row r="7" spans="1:40" hidden="1" x14ac:dyDescent="0.25">
      <c r="A7" s="44" t="s">
        <v>70</v>
      </c>
      <c r="B7" s="45" t="s">
        <v>71</v>
      </c>
      <c r="C7" s="45" t="s">
        <v>72</v>
      </c>
      <c r="D7" s="45" t="s">
        <v>73</v>
      </c>
      <c r="E7" s="45" t="s">
        <v>74</v>
      </c>
      <c r="F7" s="45" t="s">
        <v>75</v>
      </c>
      <c r="G7" s="45" t="s">
        <v>76</v>
      </c>
      <c r="H7" s="45" t="s">
        <v>77</v>
      </c>
      <c r="I7" s="45" t="s">
        <v>78</v>
      </c>
      <c r="J7" s="45" t="s">
        <v>79</v>
      </c>
      <c r="K7" s="44" t="s">
        <v>3</v>
      </c>
      <c r="L7" s="53" t="s">
        <v>74</v>
      </c>
      <c r="M7" s="46"/>
      <c r="N7" s="44" t="s">
        <v>80</v>
      </c>
      <c r="O7" s="45" t="s">
        <v>94</v>
      </c>
      <c r="P7" s="46">
        <v>0.03</v>
      </c>
      <c r="Q7" s="54"/>
      <c r="R7" s="45"/>
      <c r="S7" s="55">
        <v>9745.52</v>
      </c>
      <c r="T7" s="48"/>
      <c r="U7" s="49">
        <v>7362.34</v>
      </c>
      <c r="V7" s="48">
        <f t="shared" si="0"/>
        <v>2383.1800000000003</v>
      </c>
      <c r="W7" s="50">
        <f t="shared" si="3"/>
        <v>7161.5489090909086</v>
      </c>
      <c r="X7" s="50"/>
      <c r="Y7" s="50">
        <f t="shared" si="1"/>
        <v>0</v>
      </c>
      <c r="Z7" s="50">
        <f t="shared" si="2"/>
        <v>7161.5489090909086</v>
      </c>
      <c r="AA7" s="51">
        <f t="shared" si="4"/>
        <v>200.79109090909151</v>
      </c>
      <c r="AB7" s="48">
        <f t="shared" si="5"/>
        <v>7362.34</v>
      </c>
      <c r="AC7" s="46">
        <v>8.3699999999999997E-2</v>
      </c>
      <c r="AD7" s="46"/>
      <c r="AE7" s="46"/>
      <c r="AF7" s="45"/>
      <c r="AG7" s="46">
        <v>7.0000000000000007E-2</v>
      </c>
    </row>
    <row r="8" spans="1:40" hidden="1" x14ac:dyDescent="0.25">
      <c r="A8" s="44" t="s">
        <v>70</v>
      </c>
      <c r="B8" s="45" t="s">
        <v>3</v>
      </c>
      <c r="C8" s="45" t="s">
        <v>95</v>
      </c>
      <c r="D8" s="45" t="s">
        <v>96</v>
      </c>
      <c r="E8" s="45" t="s">
        <v>97</v>
      </c>
      <c r="F8" s="45" t="s">
        <v>97</v>
      </c>
      <c r="G8" s="45" t="s">
        <v>97</v>
      </c>
      <c r="H8" s="45" t="s">
        <v>77</v>
      </c>
      <c r="I8" s="45" t="s">
        <v>78</v>
      </c>
      <c r="J8" s="45" t="s">
        <v>79</v>
      </c>
      <c r="K8" s="44" t="s">
        <v>3</v>
      </c>
      <c r="L8" s="53" t="s">
        <v>98</v>
      </c>
      <c r="M8" s="46"/>
      <c r="N8" s="44" t="s">
        <v>86</v>
      </c>
      <c r="O8" s="45" t="s">
        <v>94</v>
      </c>
      <c r="P8" s="46">
        <v>0.03</v>
      </c>
      <c r="Q8" s="54"/>
      <c r="R8" s="45"/>
      <c r="S8" s="55">
        <v>99246.07</v>
      </c>
      <c r="T8" s="48"/>
      <c r="U8" s="56">
        <v>99246.07</v>
      </c>
      <c r="V8" s="48">
        <f t="shared" si="0"/>
        <v>0</v>
      </c>
      <c r="W8" s="50">
        <f t="shared" si="3"/>
        <v>96355.407766990291</v>
      </c>
      <c r="X8" s="50"/>
      <c r="Y8" s="50">
        <f t="shared" si="1"/>
        <v>0</v>
      </c>
      <c r="Z8" s="50">
        <f t="shared" si="2"/>
        <v>96355.407766990291</v>
      </c>
      <c r="AA8" s="51">
        <f t="shared" si="4"/>
        <v>2890.6622330097161</v>
      </c>
      <c r="AB8" s="48">
        <f t="shared" si="5"/>
        <v>99246.07</v>
      </c>
      <c r="AC8" s="46">
        <v>8.3699999999999997E-2</v>
      </c>
      <c r="AD8" s="46"/>
      <c r="AE8" s="46"/>
      <c r="AF8" s="45"/>
      <c r="AG8" s="46">
        <v>0</v>
      </c>
    </row>
    <row r="9" spans="1:40" hidden="1" x14ac:dyDescent="0.25">
      <c r="A9" s="44" t="s">
        <v>70</v>
      </c>
      <c r="B9" s="45" t="s">
        <v>3</v>
      </c>
      <c r="C9" s="45" t="s">
        <v>82</v>
      </c>
      <c r="D9" s="45" t="s">
        <v>83</v>
      </c>
      <c r="E9" s="45" t="s">
        <v>88</v>
      </c>
      <c r="F9" s="45" t="s">
        <v>88</v>
      </c>
      <c r="G9" s="45" t="s">
        <v>88</v>
      </c>
      <c r="H9" s="45" t="s">
        <v>77</v>
      </c>
      <c r="I9" s="45" t="s">
        <v>78</v>
      </c>
      <c r="J9" s="45" t="s">
        <v>79</v>
      </c>
      <c r="K9" s="44" t="s">
        <v>3</v>
      </c>
      <c r="L9" s="53" t="s">
        <v>88</v>
      </c>
      <c r="M9" s="46"/>
      <c r="N9" s="44" t="s">
        <v>86</v>
      </c>
      <c r="O9" s="45" t="s">
        <v>94</v>
      </c>
      <c r="P9" s="46">
        <v>0.01</v>
      </c>
      <c r="Q9" s="54"/>
      <c r="R9" s="45" t="s">
        <v>89</v>
      </c>
      <c r="S9" s="55">
        <v>797008.19</v>
      </c>
      <c r="T9" s="48"/>
      <c r="U9" s="56">
        <v>797008.19</v>
      </c>
      <c r="V9" s="48">
        <f t="shared" si="0"/>
        <v>0</v>
      </c>
      <c r="W9" s="50">
        <f t="shared" si="3"/>
        <v>791015.64721804496</v>
      </c>
      <c r="X9" s="50">
        <v>48960</v>
      </c>
      <c r="Y9" s="50">
        <f t="shared" si="1"/>
        <v>0</v>
      </c>
      <c r="Z9" s="50">
        <f t="shared" si="2"/>
        <v>839975.64721804496</v>
      </c>
      <c r="AA9" s="51">
        <f t="shared" si="4"/>
        <v>5992.5427819549805</v>
      </c>
      <c r="AB9" s="48">
        <f t="shared" si="5"/>
        <v>797008.19</v>
      </c>
      <c r="AC9" s="46">
        <v>8.3699999999999997E-2</v>
      </c>
      <c r="AD9" s="46"/>
      <c r="AE9" s="46"/>
      <c r="AF9" s="45"/>
      <c r="AG9" s="46">
        <v>0.32</v>
      </c>
    </row>
    <row r="10" spans="1:40" hidden="1" x14ac:dyDescent="0.25">
      <c r="A10" s="44" t="s">
        <v>70</v>
      </c>
      <c r="B10" s="45" t="s">
        <v>3</v>
      </c>
      <c r="C10" s="45" t="s">
        <v>82</v>
      </c>
      <c r="D10" s="45" t="s">
        <v>83</v>
      </c>
      <c r="E10" s="45" t="s">
        <v>84</v>
      </c>
      <c r="F10" s="45" t="s">
        <v>84</v>
      </c>
      <c r="G10" s="45" t="s">
        <v>84</v>
      </c>
      <c r="H10" s="45" t="s">
        <v>77</v>
      </c>
      <c r="I10" s="45" t="s">
        <v>78</v>
      </c>
      <c r="J10" s="45" t="s">
        <v>79</v>
      </c>
      <c r="K10" s="44" t="s">
        <v>3</v>
      </c>
      <c r="L10" s="53" t="s">
        <v>88</v>
      </c>
      <c r="M10" s="46"/>
      <c r="N10" s="44" t="s">
        <v>86</v>
      </c>
      <c r="O10" s="45" t="s">
        <v>87</v>
      </c>
      <c r="P10" s="46">
        <v>0.02</v>
      </c>
      <c r="Q10" s="54"/>
      <c r="R10" s="45"/>
      <c r="S10" s="55">
        <v>4756.92</v>
      </c>
      <c r="T10" s="48"/>
      <c r="U10" s="48">
        <v>4990.03</v>
      </c>
      <c r="V10" s="48">
        <f t="shared" si="0"/>
        <v>-233.10999999999967</v>
      </c>
      <c r="W10" s="50">
        <v>0</v>
      </c>
      <c r="X10" s="50"/>
      <c r="Y10" s="50">
        <f t="shared" si="1"/>
        <v>0</v>
      </c>
      <c r="Z10" s="50">
        <f t="shared" si="2"/>
        <v>0</v>
      </c>
      <c r="AA10" s="51">
        <f>W10*P10</f>
        <v>0</v>
      </c>
      <c r="AB10" s="48">
        <v>0</v>
      </c>
      <c r="AC10" s="46">
        <v>8.3699999999999997E-2</v>
      </c>
      <c r="AD10" s="46"/>
      <c r="AE10" s="46"/>
      <c r="AF10" s="45"/>
      <c r="AG10" s="46">
        <v>0.32</v>
      </c>
    </row>
    <row r="11" spans="1:40" hidden="1" x14ac:dyDescent="0.25">
      <c r="A11" s="44" t="s">
        <v>70</v>
      </c>
      <c r="B11" s="45" t="s">
        <v>3</v>
      </c>
      <c r="C11" s="45" t="s">
        <v>95</v>
      </c>
      <c r="D11" s="45" t="s">
        <v>96</v>
      </c>
      <c r="E11" s="45" t="s">
        <v>99</v>
      </c>
      <c r="F11" s="45" t="s">
        <v>99</v>
      </c>
      <c r="G11" s="45" t="s">
        <v>99</v>
      </c>
      <c r="H11" s="45" t="s">
        <v>77</v>
      </c>
      <c r="I11" s="45" t="s">
        <v>78</v>
      </c>
      <c r="J11" s="45" t="s">
        <v>79</v>
      </c>
      <c r="K11" s="44" t="s">
        <v>3</v>
      </c>
      <c r="L11" s="53" t="s">
        <v>98</v>
      </c>
      <c r="M11" s="46"/>
      <c r="N11" s="44" t="s">
        <v>86</v>
      </c>
      <c r="O11" s="45" t="s">
        <v>94</v>
      </c>
      <c r="P11" s="46">
        <v>0.03</v>
      </c>
      <c r="Q11" s="54"/>
      <c r="R11" s="45"/>
      <c r="S11" s="55">
        <v>5696.55</v>
      </c>
      <c r="T11" s="48"/>
      <c r="U11" s="48">
        <v>0</v>
      </c>
      <c r="V11" s="48">
        <f t="shared" si="0"/>
        <v>5696.55</v>
      </c>
      <c r="W11" s="50">
        <f t="shared" ref="W11:W55" si="6">U11*(1+AG11)/(1+AG11+P11)</f>
        <v>0</v>
      </c>
      <c r="X11" s="50"/>
      <c r="Y11" s="50">
        <f t="shared" si="1"/>
        <v>0</v>
      </c>
      <c r="Z11" s="50">
        <f t="shared" si="2"/>
        <v>0</v>
      </c>
      <c r="AA11" s="51">
        <f t="shared" ref="AA11:AA57" si="7">U11-W11</f>
        <v>0</v>
      </c>
      <c r="AB11" s="48">
        <f t="shared" ref="AB11:AB55" si="8">U11</f>
        <v>0</v>
      </c>
      <c r="AC11" s="46">
        <v>8.3699999999999997E-2</v>
      </c>
      <c r="AD11" s="46"/>
      <c r="AE11" s="46"/>
      <c r="AF11" s="45"/>
      <c r="AG11" s="46">
        <v>0</v>
      </c>
    </row>
    <row r="12" spans="1:40" hidden="1" x14ac:dyDescent="0.25">
      <c r="A12" s="44" t="s">
        <v>70</v>
      </c>
      <c r="B12" s="45" t="s">
        <v>3</v>
      </c>
      <c r="C12" s="45" t="s">
        <v>95</v>
      </c>
      <c r="D12" s="45" t="s">
        <v>96</v>
      </c>
      <c r="E12" s="45" t="s">
        <v>97</v>
      </c>
      <c r="F12" s="45" t="s">
        <v>97</v>
      </c>
      <c r="G12" s="45" t="s">
        <v>97</v>
      </c>
      <c r="H12" s="45" t="s">
        <v>77</v>
      </c>
      <c r="I12" s="45" t="s">
        <v>78</v>
      </c>
      <c r="J12" s="45" t="s">
        <v>79</v>
      </c>
      <c r="K12" s="44" t="s">
        <v>3</v>
      </c>
      <c r="L12" s="53" t="s">
        <v>98</v>
      </c>
      <c r="M12" s="46"/>
      <c r="N12" s="44" t="s">
        <v>86</v>
      </c>
      <c r="O12" s="45" t="s">
        <v>94</v>
      </c>
      <c r="P12" s="46">
        <v>0.03</v>
      </c>
      <c r="Q12" s="54"/>
      <c r="R12" s="45"/>
      <c r="S12" s="55">
        <v>97624.94</v>
      </c>
      <c r="T12" s="48"/>
      <c r="U12" s="49">
        <v>97629.9</v>
      </c>
      <c r="V12" s="48">
        <v>0</v>
      </c>
      <c r="W12" s="50">
        <f t="shared" si="6"/>
        <v>94786.310679611648</v>
      </c>
      <c r="X12" s="50"/>
      <c r="Y12" s="50">
        <f t="shared" si="1"/>
        <v>0</v>
      </c>
      <c r="Z12" s="50">
        <f t="shared" si="2"/>
        <v>94786.310679611648</v>
      </c>
      <c r="AA12" s="51">
        <f t="shared" si="7"/>
        <v>2843.5893203883461</v>
      </c>
      <c r="AB12" s="48">
        <f t="shared" si="8"/>
        <v>97629.9</v>
      </c>
      <c r="AC12" s="46">
        <v>8.3699999999999997E-2</v>
      </c>
      <c r="AD12" s="46"/>
      <c r="AE12" s="46"/>
      <c r="AF12" s="45"/>
      <c r="AG12" s="46">
        <v>0</v>
      </c>
    </row>
    <row r="13" spans="1:40" hidden="1" x14ac:dyDescent="0.25">
      <c r="A13" s="44" t="s">
        <v>70</v>
      </c>
      <c r="B13" s="45" t="s">
        <v>3</v>
      </c>
      <c r="C13" s="45" t="s">
        <v>100</v>
      </c>
      <c r="D13" s="45" t="s">
        <v>101</v>
      </c>
      <c r="E13" s="45" t="s">
        <v>102</v>
      </c>
      <c r="F13" s="45" t="s">
        <v>102</v>
      </c>
      <c r="G13" s="45" t="s">
        <v>102</v>
      </c>
      <c r="H13" s="45" t="s">
        <v>77</v>
      </c>
      <c r="I13" s="45" t="s">
        <v>78</v>
      </c>
      <c r="J13" s="45" t="s">
        <v>79</v>
      </c>
      <c r="K13" s="44" t="s">
        <v>3</v>
      </c>
      <c r="L13" s="53" t="s">
        <v>102</v>
      </c>
      <c r="M13" s="46"/>
      <c r="N13" s="44" t="s">
        <v>86</v>
      </c>
      <c r="O13" s="45" t="s">
        <v>81</v>
      </c>
      <c r="P13" s="46">
        <v>0</v>
      </c>
      <c r="Q13" s="54"/>
      <c r="R13" s="45"/>
      <c r="S13" s="55">
        <v>13602.3</v>
      </c>
      <c r="T13" s="48"/>
      <c r="U13" s="48">
        <v>13602.3</v>
      </c>
      <c r="V13" s="48">
        <f t="shared" ref="V13:V55" si="9">S13+T13-U13</f>
        <v>0</v>
      </c>
      <c r="W13" s="50">
        <f t="shared" si="6"/>
        <v>13602.3</v>
      </c>
      <c r="X13" s="50"/>
      <c r="Y13" s="50">
        <f t="shared" si="1"/>
        <v>0</v>
      </c>
      <c r="Z13" s="50">
        <f t="shared" si="2"/>
        <v>13602.3</v>
      </c>
      <c r="AA13" s="51">
        <f t="shared" si="7"/>
        <v>0</v>
      </c>
      <c r="AB13" s="48">
        <f t="shared" si="8"/>
        <v>13602.3</v>
      </c>
      <c r="AC13" s="46">
        <v>8.3699999999999997E-2</v>
      </c>
      <c r="AD13" s="46"/>
      <c r="AE13" s="46"/>
      <c r="AF13" s="45"/>
      <c r="AG13" s="46">
        <v>0</v>
      </c>
    </row>
    <row r="14" spans="1:40" hidden="1" x14ac:dyDescent="0.25">
      <c r="A14" s="44" t="s">
        <v>70</v>
      </c>
      <c r="B14" s="45" t="s">
        <v>71</v>
      </c>
      <c r="C14" s="45" t="s">
        <v>90</v>
      </c>
      <c r="D14" s="45" t="s">
        <v>91</v>
      </c>
      <c r="E14" s="45" t="s">
        <v>103</v>
      </c>
      <c r="F14" s="45" t="s">
        <v>104</v>
      </c>
      <c r="G14" s="45" t="s">
        <v>76</v>
      </c>
      <c r="H14" s="45" t="s">
        <v>77</v>
      </c>
      <c r="I14" s="45" t="s">
        <v>78</v>
      </c>
      <c r="J14" s="45" t="s">
        <v>79</v>
      </c>
      <c r="K14" s="44" t="s">
        <v>3</v>
      </c>
      <c r="L14" s="53" t="s">
        <v>103</v>
      </c>
      <c r="M14" s="46"/>
      <c r="N14" s="44" t="s">
        <v>86</v>
      </c>
      <c r="O14" s="45" t="s">
        <v>94</v>
      </c>
      <c r="P14" s="46">
        <v>0.02</v>
      </c>
      <c r="Q14" s="54"/>
      <c r="R14" s="45"/>
      <c r="S14" s="55">
        <v>106099.63</v>
      </c>
      <c r="T14" s="48"/>
      <c r="U14" s="48">
        <v>0</v>
      </c>
      <c r="V14" s="48">
        <f t="shared" si="9"/>
        <v>106099.63</v>
      </c>
      <c r="W14" s="50">
        <f t="shared" si="6"/>
        <v>0</v>
      </c>
      <c r="X14" s="50"/>
      <c r="Y14" s="50">
        <f t="shared" si="1"/>
        <v>0</v>
      </c>
      <c r="Z14" s="50">
        <f t="shared" si="2"/>
        <v>0</v>
      </c>
      <c r="AA14" s="51">
        <f t="shared" si="7"/>
        <v>0</v>
      </c>
      <c r="AB14" s="48">
        <f t="shared" si="8"/>
        <v>0</v>
      </c>
      <c r="AC14" s="46">
        <v>8.3699999999999997E-2</v>
      </c>
      <c r="AD14" s="46"/>
      <c r="AE14" s="46"/>
      <c r="AF14" s="45"/>
      <c r="AG14" s="46">
        <v>0.42</v>
      </c>
    </row>
    <row r="15" spans="1:40" hidden="1" x14ac:dyDescent="0.25">
      <c r="A15" s="44" t="s">
        <v>70</v>
      </c>
      <c r="B15" s="45" t="s">
        <v>71</v>
      </c>
      <c r="C15" s="45" t="s">
        <v>90</v>
      </c>
      <c r="D15" s="45" t="s">
        <v>105</v>
      </c>
      <c r="E15" s="45" t="s">
        <v>106</v>
      </c>
      <c r="F15" s="45" t="s">
        <v>107</v>
      </c>
      <c r="G15" s="45" t="s">
        <v>76</v>
      </c>
      <c r="H15" s="45" t="s">
        <v>77</v>
      </c>
      <c r="I15" s="45" t="s">
        <v>78</v>
      </c>
      <c r="J15" s="45" t="s">
        <v>79</v>
      </c>
      <c r="K15" s="44" t="s">
        <v>3</v>
      </c>
      <c r="L15" s="53" t="s">
        <v>106</v>
      </c>
      <c r="M15" s="46"/>
      <c r="N15" s="44" t="s">
        <v>80</v>
      </c>
      <c r="O15" s="45" t="s">
        <v>81</v>
      </c>
      <c r="P15" s="46">
        <v>0</v>
      </c>
      <c r="Q15" s="54"/>
      <c r="R15" s="45"/>
      <c r="S15" s="55">
        <v>7741.65</v>
      </c>
      <c r="T15" s="48"/>
      <c r="U15" s="48">
        <v>0</v>
      </c>
      <c r="V15" s="48">
        <f t="shared" si="9"/>
        <v>7741.65</v>
      </c>
      <c r="W15" s="50">
        <f t="shared" si="6"/>
        <v>0</v>
      </c>
      <c r="X15" s="50"/>
      <c r="Y15" s="50">
        <f t="shared" si="1"/>
        <v>0</v>
      </c>
      <c r="Z15" s="50">
        <f t="shared" si="2"/>
        <v>0</v>
      </c>
      <c r="AA15" s="51">
        <f t="shared" si="7"/>
        <v>0</v>
      </c>
      <c r="AB15" s="48">
        <f t="shared" si="8"/>
        <v>0</v>
      </c>
      <c r="AC15" s="46">
        <v>8.3699999999999997E-2</v>
      </c>
      <c r="AD15" s="46"/>
      <c r="AE15" s="46"/>
      <c r="AF15" s="45"/>
      <c r="AG15" s="46">
        <v>0.42</v>
      </c>
    </row>
    <row r="16" spans="1:40" hidden="1" x14ac:dyDescent="0.25">
      <c r="A16" s="44" t="s">
        <v>70</v>
      </c>
      <c r="B16" s="45" t="s">
        <v>3</v>
      </c>
      <c r="C16" s="45" t="s">
        <v>81</v>
      </c>
      <c r="D16" s="45" t="s">
        <v>81</v>
      </c>
      <c r="E16" s="45" t="s">
        <v>108</v>
      </c>
      <c r="F16" s="45" t="s">
        <v>108</v>
      </c>
      <c r="G16" s="45" t="s">
        <v>108</v>
      </c>
      <c r="H16" s="45" t="s">
        <v>77</v>
      </c>
      <c r="I16" s="45" t="s">
        <v>78</v>
      </c>
      <c r="J16" s="45" t="s">
        <v>79</v>
      </c>
      <c r="K16" s="44" t="s">
        <v>3</v>
      </c>
      <c r="L16" s="53" t="s">
        <v>108</v>
      </c>
      <c r="M16" s="46"/>
      <c r="N16" s="44" t="s">
        <v>86</v>
      </c>
      <c r="O16" s="45" t="s">
        <v>81</v>
      </c>
      <c r="P16" s="46">
        <v>0</v>
      </c>
      <c r="Q16" s="54"/>
      <c r="R16" s="45"/>
      <c r="S16" s="55">
        <v>16779.919999999998</v>
      </c>
      <c r="T16" s="48"/>
      <c r="U16" s="48">
        <v>25.3</v>
      </c>
      <c r="V16" s="48">
        <f t="shared" si="9"/>
        <v>16754.62</v>
      </c>
      <c r="W16" s="50">
        <f t="shared" si="6"/>
        <v>25.300000000000004</v>
      </c>
      <c r="X16" s="50"/>
      <c r="Y16" s="50">
        <f t="shared" si="1"/>
        <v>3.5527136788005009E-15</v>
      </c>
      <c r="Z16" s="50">
        <f t="shared" si="2"/>
        <v>25.300000000000004</v>
      </c>
      <c r="AA16" s="51">
        <f t="shared" si="7"/>
        <v>0</v>
      </c>
      <c r="AB16" s="48">
        <f t="shared" si="8"/>
        <v>25.3</v>
      </c>
      <c r="AC16" s="46">
        <v>8.3699999999999997E-2</v>
      </c>
      <c r="AD16" s="46"/>
      <c r="AE16" s="46"/>
      <c r="AF16" s="45"/>
      <c r="AG16" s="46">
        <v>0.42</v>
      </c>
    </row>
    <row r="17" spans="1:33" hidden="1" x14ac:dyDescent="0.25">
      <c r="A17" s="44" t="s">
        <v>70</v>
      </c>
      <c r="B17" s="45" t="s">
        <v>71</v>
      </c>
      <c r="C17" s="45" t="s">
        <v>100</v>
      </c>
      <c r="D17" s="45" t="s">
        <v>101</v>
      </c>
      <c r="E17" s="45" t="s">
        <v>109</v>
      </c>
      <c r="F17" s="45" t="s">
        <v>110</v>
      </c>
      <c r="G17" s="45" t="s">
        <v>76</v>
      </c>
      <c r="H17" s="45" t="s">
        <v>77</v>
      </c>
      <c r="I17" s="45" t="s">
        <v>78</v>
      </c>
      <c r="J17" s="45" t="s">
        <v>79</v>
      </c>
      <c r="K17" s="44" t="s">
        <v>3</v>
      </c>
      <c r="L17" s="53" t="s">
        <v>111</v>
      </c>
      <c r="M17" s="46"/>
      <c r="N17" s="44" t="s">
        <v>80</v>
      </c>
      <c r="O17" s="45" t="s">
        <v>81</v>
      </c>
      <c r="P17" s="46">
        <v>0</v>
      </c>
      <c r="Q17" s="54"/>
      <c r="R17" s="45"/>
      <c r="S17" s="55">
        <v>547555.24</v>
      </c>
      <c r="T17" s="48"/>
      <c r="U17" s="48">
        <v>0</v>
      </c>
      <c r="V17" s="48">
        <f t="shared" si="9"/>
        <v>547555.24</v>
      </c>
      <c r="W17" s="50">
        <f t="shared" si="6"/>
        <v>0</v>
      </c>
      <c r="X17" s="50"/>
      <c r="Y17" s="50">
        <f t="shared" si="1"/>
        <v>0</v>
      </c>
      <c r="Z17" s="50">
        <f t="shared" si="2"/>
        <v>0</v>
      </c>
      <c r="AA17" s="51">
        <f t="shared" si="7"/>
        <v>0</v>
      </c>
      <c r="AB17" s="48">
        <f t="shared" si="8"/>
        <v>0</v>
      </c>
      <c r="AC17" s="46">
        <v>8.3699999999999997E-2</v>
      </c>
      <c r="AD17" s="46"/>
      <c r="AE17" s="46"/>
      <c r="AF17" s="45"/>
      <c r="AG17" s="46">
        <v>0.42</v>
      </c>
    </row>
    <row r="18" spans="1:33" hidden="1" x14ac:dyDescent="0.25">
      <c r="A18" s="44" t="s">
        <v>70</v>
      </c>
      <c r="B18" s="45" t="s">
        <v>71</v>
      </c>
      <c r="C18" s="45" t="s">
        <v>100</v>
      </c>
      <c r="D18" s="45" t="s">
        <v>101</v>
      </c>
      <c r="E18" s="45" t="s">
        <v>112</v>
      </c>
      <c r="F18" s="45" t="s">
        <v>113</v>
      </c>
      <c r="G18" s="45" t="s">
        <v>76</v>
      </c>
      <c r="H18" s="45" t="s">
        <v>77</v>
      </c>
      <c r="I18" s="45" t="s">
        <v>78</v>
      </c>
      <c r="J18" s="45" t="s">
        <v>79</v>
      </c>
      <c r="K18" s="44" t="s">
        <v>3</v>
      </c>
      <c r="L18" s="53" t="s">
        <v>112</v>
      </c>
      <c r="M18" s="46"/>
      <c r="N18" s="44" t="s">
        <v>86</v>
      </c>
      <c r="O18" s="45" t="s">
        <v>81</v>
      </c>
      <c r="P18" s="46">
        <v>0</v>
      </c>
      <c r="Q18" s="54"/>
      <c r="R18" s="45"/>
      <c r="S18" s="55">
        <v>68894.880000000005</v>
      </c>
      <c r="T18" s="48"/>
      <c r="U18" s="48">
        <v>0</v>
      </c>
      <c r="V18" s="48">
        <f t="shared" si="9"/>
        <v>68894.880000000005</v>
      </c>
      <c r="W18" s="50">
        <f t="shared" si="6"/>
        <v>0</v>
      </c>
      <c r="X18" s="50"/>
      <c r="Y18" s="50">
        <f t="shared" si="1"/>
        <v>0</v>
      </c>
      <c r="Z18" s="50">
        <f t="shared" si="2"/>
        <v>0</v>
      </c>
      <c r="AA18" s="51">
        <f t="shared" si="7"/>
        <v>0</v>
      </c>
      <c r="AB18" s="48">
        <f t="shared" si="8"/>
        <v>0</v>
      </c>
      <c r="AC18" s="46">
        <v>8.3699999999999997E-2</v>
      </c>
      <c r="AD18" s="46"/>
      <c r="AE18" s="46"/>
      <c r="AF18" s="45"/>
      <c r="AG18" s="46">
        <v>0</v>
      </c>
    </row>
    <row r="19" spans="1:33" hidden="1" x14ac:dyDescent="0.25">
      <c r="A19" s="44" t="s">
        <v>70</v>
      </c>
      <c r="B19" s="45" t="s">
        <v>3</v>
      </c>
      <c r="C19" s="45" t="s">
        <v>90</v>
      </c>
      <c r="D19" s="45" t="s">
        <v>114</v>
      </c>
      <c r="E19" s="45" t="s">
        <v>115</v>
      </c>
      <c r="F19" s="45" t="s">
        <v>115</v>
      </c>
      <c r="G19" s="45" t="s">
        <v>115</v>
      </c>
      <c r="H19" s="45" t="s">
        <v>77</v>
      </c>
      <c r="I19" s="45" t="s">
        <v>78</v>
      </c>
      <c r="J19" s="45" t="s">
        <v>79</v>
      </c>
      <c r="K19" s="44" t="s">
        <v>3</v>
      </c>
      <c r="L19" s="53" t="s">
        <v>116</v>
      </c>
      <c r="M19" s="46"/>
      <c r="N19" s="44" t="s">
        <v>86</v>
      </c>
      <c r="O19" s="45" t="s">
        <v>94</v>
      </c>
      <c r="P19" s="46">
        <v>-0.15</v>
      </c>
      <c r="Q19" s="54"/>
      <c r="R19" s="45"/>
      <c r="S19" s="55">
        <v>205.52</v>
      </c>
      <c r="T19" s="48"/>
      <c r="U19" s="48">
        <v>0</v>
      </c>
      <c r="V19" s="48">
        <f t="shared" si="9"/>
        <v>205.52</v>
      </c>
      <c r="W19" s="50">
        <f t="shared" si="6"/>
        <v>0</v>
      </c>
      <c r="X19" s="50"/>
      <c r="Y19" s="50">
        <f t="shared" si="1"/>
        <v>0</v>
      </c>
      <c r="Z19" s="50">
        <f t="shared" si="2"/>
        <v>0</v>
      </c>
      <c r="AA19" s="51">
        <f t="shared" si="7"/>
        <v>0</v>
      </c>
      <c r="AB19" s="48">
        <f t="shared" si="8"/>
        <v>0</v>
      </c>
      <c r="AC19" s="46">
        <v>8.3699999999999997E-2</v>
      </c>
      <c r="AD19" s="46"/>
      <c r="AE19" s="46"/>
      <c r="AF19" s="45"/>
      <c r="AG19" s="46">
        <v>0.26</v>
      </c>
    </row>
    <row r="20" spans="1:33" hidden="1" x14ac:dyDescent="0.25">
      <c r="A20" s="44" t="s">
        <v>70</v>
      </c>
      <c r="B20" s="45" t="s">
        <v>71</v>
      </c>
      <c r="C20" s="45" t="s">
        <v>82</v>
      </c>
      <c r="D20" s="45" t="s">
        <v>117</v>
      </c>
      <c r="E20" s="45" t="s">
        <v>118</v>
      </c>
      <c r="F20" s="45" t="s">
        <v>119</v>
      </c>
      <c r="G20" s="45" t="s">
        <v>76</v>
      </c>
      <c r="H20" s="45" t="s">
        <v>77</v>
      </c>
      <c r="I20" s="45" t="s">
        <v>78</v>
      </c>
      <c r="J20" s="45" t="s">
        <v>79</v>
      </c>
      <c r="K20" s="44" t="s">
        <v>3</v>
      </c>
      <c r="L20" s="53" t="s">
        <v>120</v>
      </c>
      <c r="M20" s="46"/>
      <c r="N20" s="44" t="s">
        <v>80</v>
      </c>
      <c r="O20" s="45" t="s">
        <v>94</v>
      </c>
      <c r="P20" s="46">
        <v>0.05</v>
      </c>
      <c r="Q20" s="54"/>
      <c r="R20" s="45"/>
      <c r="S20" s="55">
        <v>1766.24</v>
      </c>
      <c r="T20" s="48"/>
      <c r="U20" s="48">
        <v>0</v>
      </c>
      <c r="V20" s="48">
        <f t="shared" si="9"/>
        <v>1766.24</v>
      </c>
      <c r="W20" s="50">
        <f t="shared" si="6"/>
        <v>0</v>
      </c>
      <c r="X20" s="50"/>
      <c r="Y20" s="50">
        <f t="shared" si="1"/>
        <v>0</v>
      </c>
      <c r="Z20" s="50">
        <f t="shared" si="2"/>
        <v>0</v>
      </c>
      <c r="AA20" s="51">
        <f t="shared" si="7"/>
        <v>0</v>
      </c>
      <c r="AB20" s="48">
        <f t="shared" si="8"/>
        <v>0</v>
      </c>
      <c r="AC20" s="46">
        <v>8.3699999999999997E-2</v>
      </c>
      <c r="AD20" s="46"/>
      <c r="AE20" s="46"/>
      <c r="AF20" s="45"/>
      <c r="AG20" s="46">
        <v>0.42</v>
      </c>
    </row>
    <row r="21" spans="1:33" hidden="1" x14ac:dyDescent="0.25">
      <c r="A21" s="44" t="s">
        <v>70</v>
      </c>
      <c r="B21" s="45" t="s">
        <v>3</v>
      </c>
      <c r="C21" s="45" t="s">
        <v>100</v>
      </c>
      <c r="D21" s="45" t="s">
        <v>101</v>
      </c>
      <c r="E21" s="45" t="s">
        <v>121</v>
      </c>
      <c r="F21" s="45" t="s">
        <v>121</v>
      </c>
      <c r="G21" s="45" t="s">
        <v>121</v>
      </c>
      <c r="H21" s="45" t="s">
        <v>77</v>
      </c>
      <c r="I21" s="45" t="s">
        <v>78</v>
      </c>
      <c r="J21" s="45" t="s">
        <v>79</v>
      </c>
      <c r="K21" s="44" t="s">
        <v>3</v>
      </c>
      <c r="L21" s="53" t="s">
        <v>121</v>
      </c>
      <c r="M21" s="46"/>
      <c r="N21" s="44" t="s">
        <v>86</v>
      </c>
      <c r="O21" s="45" t="s">
        <v>94</v>
      </c>
      <c r="P21" s="46">
        <v>5.5E-2</v>
      </c>
      <c r="Q21" s="54"/>
      <c r="R21" s="45"/>
      <c r="S21" s="55">
        <v>12291.56</v>
      </c>
      <c r="T21" s="48"/>
      <c r="U21" s="48">
        <v>0</v>
      </c>
      <c r="V21" s="48">
        <f t="shared" si="9"/>
        <v>12291.56</v>
      </c>
      <c r="W21" s="50">
        <f t="shared" si="6"/>
        <v>0</v>
      </c>
      <c r="X21" s="50"/>
      <c r="Y21" s="50">
        <f t="shared" si="1"/>
        <v>0</v>
      </c>
      <c r="Z21" s="50">
        <f t="shared" si="2"/>
        <v>0</v>
      </c>
      <c r="AA21" s="51">
        <f t="shared" si="7"/>
        <v>0</v>
      </c>
      <c r="AB21" s="48">
        <f t="shared" si="8"/>
        <v>0</v>
      </c>
      <c r="AC21" s="46">
        <v>8.3699999999999997E-2</v>
      </c>
      <c r="AD21" s="46"/>
      <c r="AE21" s="46"/>
      <c r="AF21" s="45"/>
      <c r="AG21" s="46">
        <v>0.14000000000000001</v>
      </c>
    </row>
    <row r="22" spans="1:33" hidden="1" x14ac:dyDescent="0.25">
      <c r="A22" s="44" t="s">
        <v>70</v>
      </c>
      <c r="B22" s="45" t="s">
        <v>71</v>
      </c>
      <c r="C22" s="45" t="s">
        <v>72</v>
      </c>
      <c r="D22" s="45" t="s">
        <v>122</v>
      </c>
      <c r="E22" s="45" t="s">
        <v>123</v>
      </c>
      <c r="F22" s="45" t="s">
        <v>124</v>
      </c>
      <c r="G22" s="45" t="s">
        <v>76</v>
      </c>
      <c r="H22" s="45" t="s">
        <v>77</v>
      </c>
      <c r="I22" s="45" t="s">
        <v>78</v>
      </c>
      <c r="J22" s="45" t="s">
        <v>79</v>
      </c>
      <c r="K22" s="44" t="s">
        <v>3</v>
      </c>
      <c r="L22" s="53" t="s">
        <v>125</v>
      </c>
      <c r="M22" s="46"/>
      <c r="N22" s="44" t="s">
        <v>126</v>
      </c>
      <c r="O22" s="45" t="s">
        <v>94</v>
      </c>
      <c r="P22" s="46">
        <v>0.18</v>
      </c>
      <c r="Q22" s="54"/>
      <c r="R22" s="45"/>
      <c r="S22" s="55">
        <v>135533.64000000001</v>
      </c>
      <c r="T22" s="48"/>
      <c r="U22" s="48">
        <v>3591.69</v>
      </c>
      <c r="V22" s="48">
        <f t="shared" si="9"/>
        <v>131941.95000000001</v>
      </c>
      <c r="W22" s="50">
        <f t="shared" si="6"/>
        <v>3187.624875</v>
      </c>
      <c r="X22" s="50"/>
      <c r="Y22" s="50">
        <f t="shared" si="1"/>
        <v>0</v>
      </c>
      <c r="Z22" s="50">
        <f t="shared" si="2"/>
        <v>3187.624875</v>
      </c>
      <c r="AA22" s="51">
        <f t="shared" si="7"/>
        <v>404.06512500000008</v>
      </c>
      <c r="AB22" s="48">
        <f t="shared" si="8"/>
        <v>3591.69</v>
      </c>
      <c r="AC22" s="46">
        <v>0.1038</v>
      </c>
      <c r="AD22" s="46"/>
      <c r="AE22" s="46"/>
      <c r="AF22" s="45"/>
      <c r="AG22" s="46">
        <v>0.42</v>
      </c>
    </row>
    <row r="23" spans="1:33" hidden="1" x14ac:dyDescent="0.25">
      <c r="A23" s="44" t="s">
        <v>70</v>
      </c>
      <c r="B23" s="45" t="s">
        <v>71</v>
      </c>
      <c r="C23" s="45" t="s">
        <v>127</v>
      </c>
      <c r="D23" s="45" t="s">
        <v>128</v>
      </c>
      <c r="E23" s="45" t="s">
        <v>129</v>
      </c>
      <c r="F23" s="45" t="s">
        <v>130</v>
      </c>
      <c r="G23" s="45" t="s">
        <v>76</v>
      </c>
      <c r="H23" s="45" t="s">
        <v>77</v>
      </c>
      <c r="I23" s="45" t="s">
        <v>78</v>
      </c>
      <c r="J23" s="45" t="s">
        <v>79</v>
      </c>
      <c r="K23" s="44" t="s">
        <v>3</v>
      </c>
      <c r="L23" s="53" t="s">
        <v>125</v>
      </c>
      <c r="M23" s="46"/>
      <c r="N23" s="44" t="s">
        <v>126</v>
      </c>
      <c r="O23" s="45" t="s">
        <v>94</v>
      </c>
      <c r="P23" s="46">
        <v>0.18</v>
      </c>
      <c r="Q23" s="54"/>
      <c r="R23" s="45"/>
      <c r="S23" s="55">
        <v>8102.9149295775096</v>
      </c>
      <c r="T23" s="48"/>
      <c r="U23" s="48">
        <v>0</v>
      </c>
      <c r="V23" s="48">
        <f t="shared" si="9"/>
        <v>8102.9149295775096</v>
      </c>
      <c r="W23" s="50">
        <f t="shared" si="6"/>
        <v>0</v>
      </c>
      <c r="X23" s="50"/>
      <c r="Y23" s="50">
        <f t="shared" si="1"/>
        <v>0</v>
      </c>
      <c r="Z23" s="50">
        <f t="shared" si="2"/>
        <v>0</v>
      </c>
      <c r="AA23" s="51">
        <f t="shared" si="7"/>
        <v>0</v>
      </c>
      <c r="AB23" s="48">
        <f t="shared" si="8"/>
        <v>0</v>
      </c>
      <c r="AC23" s="46">
        <v>0.1038</v>
      </c>
      <c r="AD23" s="46"/>
      <c r="AE23" s="46"/>
      <c r="AF23" s="45"/>
      <c r="AG23" s="46">
        <v>0.42</v>
      </c>
    </row>
    <row r="24" spans="1:33" hidden="1" x14ac:dyDescent="0.25">
      <c r="A24" s="44" t="s">
        <v>70</v>
      </c>
      <c r="B24" s="45" t="s">
        <v>71</v>
      </c>
      <c r="C24" s="45" t="s">
        <v>127</v>
      </c>
      <c r="D24" s="45" t="s">
        <v>128</v>
      </c>
      <c r="E24" s="45" t="s">
        <v>131</v>
      </c>
      <c r="F24" s="45" t="s">
        <v>132</v>
      </c>
      <c r="G24" s="45" t="s">
        <v>76</v>
      </c>
      <c r="H24" s="45" t="s">
        <v>77</v>
      </c>
      <c r="I24" s="45" t="s">
        <v>78</v>
      </c>
      <c r="J24" s="45" t="s">
        <v>79</v>
      </c>
      <c r="K24" s="44" t="s">
        <v>3</v>
      </c>
      <c r="L24" s="53" t="s">
        <v>125</v>
      </c>
      <c r="M24" s="46"/>
      <c r="N24" s="44" t="s">
        <v>126</v>
      </c>
      <c r="O24" s="45" t="s">
        <v>94</v>
      </c>
      <c r="P24" s="46">
        <v>0.03</v>
      </c>
      <c r="Q24" s="54"/>
      <c r="R24" s="45"/>
      <c r="S24" s="55">
        <v>655.37999999978604</v>
      </c>
      <c r="T24" s="48"/>
      <c r="U24" s="48">
        <v>0</v>
      </c>
      <c r="V24" s="48">
        <f t="shared" si="9"/>
        <v>655.37999999978604</v>
      </c>
      <c r="W24" s="50">
        <f t="shared" si="6"/>
        <v>0</v>
      </c>
      <c r="X24" s="50"/>
      <c r="Y24" s="50">
        <f t="shared" si="1"/>
        <v>0</v>
      </c>
      <c r="Z24" s="50">
        <f t="shared" si="2"/>
        <v>0</v>
      </c>
      <c r="AA24" s="51">
        <f t="shared" si="7"/>
        <v>0</v>
      </c>
      <c r="AB24" s="48">
        <f t="shared" si="8"/>
        <v>0</v>
      </c>
      <c r="AC24" s="46">
        <v>0.1038</v>
      </c>
      <c r="AD24" s="46"/>
      <c r="AE24" s="46"/>
      <c r="AF24" s="45"/>
      <c r="AG24" s="46">
        <v>0.42</v>
      </c>
    </row>
    <row r="25" spans="1:33" hidden="1" x14ac:dyDescent="0.25">
      <c r="A25" s="44" t="s">
        <v>70</v>
      </c>
      <c r="B25" s="45" t="s">
        <v>71</v>
      </c>
      <c r="C25" s="45" t="s">
        <v>127</v>
      </c>
      <c r="D25" s="45" t="s">
        <v>128</v>
      </c>
      <c r="E25" s="45" t="s">
        <v>133</v>
      </c>
      <c r="F25" s="45" t="s">
        <v>134</v>
      </c>
      <c r="G25" s="45" t="s">
        <v>76</v>
      </c>
      <c r="H25" s="45" t="s">
        <v>77</v>
      </c>
      <c r="I25" s="45" t="s">
        <v>78</v>
      </c>
      <c r="J25" s="45" t="s">
        <v>79</v>
      </c>
      <c r="K25" s="44" t="s">
        <v>3</v>
      </c>
      <c r="L25" s="53" t="s">
        <v>125</v>
      </c>
      <c r="M25" s="46"/>
      <c r="N25" s="44" t="s">
        <v>126</v>
      </c>
      <c r="O25" s="45" t="s">
        <v>94</v>
      </c>
      <c r="P25" s="46">
        <v>0.22</v>
      </c>
      <c r="Q25" s="54"/>
      <c r="R25" s="45"/>
      <c r="S25" s="48">
        <v>354.84000000002601</v>
      </c>
      <c r="T25" s="48"/>
      <c r="U25" s="48">
        <v>0</v>
      </c>
      <c r="V25" s="48">
        <f t="shared" si="9"/>
        <v>354.84000000002601</v>
      </c>
      <c r="W25" s="50">
        <f t="shared" si="6"/>
        <v>0</v>
      </c>
      <c r="X25" s="50"/>
      <c r="Y25" s="50">
        <f t="shared" si="1"/>
        <v>0</v>
      </c>
      <c r="Z25" s="50">
        <f t="shared" si="2"/>
        <v>0</v>
      </c>
      <c r="AA25" s="51">
        <f t="shared" si="7"/>
        <v>0</v>
      </c>
      <c r="AB25" s="48">
        <f t="shared" si="8"/>
        <v>0</v>
      </c>
      <c r="AC25" s="46">
        <v>0.1038</v>
      </c>
      <c r="AD25" s="46"/>
      <c r="AE25" s="46"/>
      <c r="AF25" s="45"/>
      <c r="AG25" s="46">
        <v>0.42</v>
      </c>
    </row>
    <row r="26" spans="1:33" hidden="1" x14ac:dyDescent="0.25">
      <c r="A26" s="44" t="s">
        <v>70</v>
      </c>
      <c r="B26" s="45" t="s">
        <v>71</v>
      </c>
      <c r="C26" s="45" t="s">
        <v>127</v>
      </c>
      <c r="D26" s="45" t="s">
        <v>128</v>
      </c>
      <c r="E26" s="45" t="s">
        <v>135</v>
      </c>
      <c r="F26" s="45" t="s">
        <v>136</v>
      </c>
      <c r="G26" s="45" t="s">
        <v>76</v>
      </c>
      <c r="H26" s="45" t="s">
        <v>77</v>
      </c>
      <c r="I26" s="45" t="s">
        <v>78</v>
      </c>
      <c r="J26" s="45" t="s">
        <v>79</v>
      </c>
      <c r="K26" s="44" t="s">
        <v>3</v>
      </c>
      <c r="L26" s="53" t="s">
        <v>125</v>
      </c>
      <c r="M26" s="46"/>
      <c r="N26" s="44" t="s">
        <v>126</v>
      </c>
      <c r="O26" s="45" t="s">
        <v>94</v>
      </c>
      <c r="P26" s="46">
        <v>0.08</v>
      </c>
      <c r="Q26" s="54"/>
      <c r="R26" s="45"/>
      <c r="S26" s="48">
        <v>0</v>
      </c>
      <c r="T26" s="48"/>
      <c r="U26" s="48">
        <v>0</v>
      </c>
      <c r="V26" s="48">
        <f t="shared" si="9"/>
        <v>0</v>
      </c>
      <c r="W26" s="50">
        <f t="shared" si="6"/>
        <v>0</v>
      </c>
      <c r="X26" s="50"/>
      <c r="Y26" s="50">
        <f t="shared" si="1"/>
        <v>0</v>
      </c>
      <c r="Z26" s="50">
        <f t="shared" si="2"/>
        <v>0</v>
      </c>
      <c r="AA26" s="51">
        <f t="shared" si="7"/>
        <v>0</v>
      </c>
      <c r="AB26" s="48">
        <f t="shared" si="8"/>
        <v>0</v>
      </c>
      <c r="AC26" s="46">
        <v>0.1038</v>
      </c>
      <c r="AD26" s="46"/>
      <c r="AE26" s="46"/>
      <c r="AF26" s="45"/>
      <c r="AG26" s="46" t="s">
        <v>137</v>
      </c>
    </row>
    <row r="27" spans="1:33" hidden="1" x14ac:dyDescent="0.25">
      <c r="A27" s="44" t="s">
        <v>70</v>
      </c>
      <c r="B27" s="45" t="s">
        <v>71</v>
      </c>
      <c r="C27" s="45" t="s">
        <v>127</v>
      </c>
      <c r="D27" s="45" t="s">
        <v>128</v>
      </c>
      <c r="E27" s="45" t="s">
        <v>138</v>
      </c>
      <c r="F27" s="45" t="s">
        <v>139</v>
      </c>
      <c r="G27" s="45" t="s">
        <v>76</v>
      </c>
      <c r="H27" s="45" t="s">
        <v>77</v>
      </c>
      <c r="I27" s="45" t="s">
        <v>78</v>
      </c>
      <c r="J27" s="45" t="s">
        <v>79</v>
      </c>
      <c r="K27" s="44" t="s">
        <v>3</v>
      </c>
      <c r="L27" s="53" t="s">
        <v>125</v>
      </c>
      <c r="M27" s="46"/>
      <c r="N27" s="44" t="s">
        <v>126</v>
      </c>
      <c r="O27" s="45" t="s">
        <v>94</v>
      </c>
      <c r="P27" s="46">
        <v>0.04</v>
      </c>
      <c r="Q27" s="54"/>
      <c r="R27" s="45"/>
      <c r="S27" s="48">
        <v>227.30774647876399</v>
      </c>
      <c r="T27" s="48"/>
      <c r="U27" s="48">
        <v>0</v>
      </c>
      <c r="V27" s="48">
        <f t="shared" si="9"/>
        <v>227.30774647876399</v>
      </c>
      <c r="W27" s="50">
        <f t="shared" si="6"/>
        <v>0</v>
      </c>
      <c r="X27" s="50"/>
      <c r="Y27" s="50">
        <f t="shared" si="1"/>
        <v>0</v>
      </c>
      <c r="Z27" s="50">
        <f t="shared" si="2"/>
        <v>0</v>
      </c>
      <c r="AA27" s="51">
        <f t="shared" si="7"/>
        <v>0</v>
      </c>
      <c r="AB27" s="48">
        <f t="shared" si="8"/>
        <v>0</v>
      </c>
      <c r="AC27" s="46">
        <v>0.1038</v>
      </c>
      <c r="AD27" s="46"/>
      <c r="AE27" s="46"/>
      <c r="AF27" s="45"/>
      <c r="AG27" s="46">
        <v>0.42</v>
      </c>
    </row>
    <row r="28" spans="1:33" hidden="1" x14ac:dyDescent="0.25">
      <c r="A28" s="44" t="s">
        <v>70</v>
      </c>
      <c r="B28" s="45" t="s">
        <v>71</v>
      </c>
      <c r="C28" s="45" t="s">
        <v>127</v>
      </c>
      <c r="D28" s="45" t="s">
        <v>128</v>
      </c>
      <c r="E28" s="45" t="s">
        <v>123</v>
      </c>
      <c r="F28" s="45" t="s">
        <v>140</v>
      </c>
      <c r="G28" s="45" t="s">
        <v>76</v>
      </c>
      <c r="H28" s="45" t="s">
        <v>77</v>
      </c>
      <c r="I28" s="45" t="s">
        <v>78</v>
      </c>
      <c r="J28" s="45" t="s">
        <v>79</v>
      </c>
      <c r="K28" s="44" t="s">
        <v>3</v>
      </c>
      <c r="L28" s="53" t="s">
        <v>125</v>
      </c>
      <c r="M28" s="46"/>
      <c r="N28" s="44" t="s">
        <v>126</v>
      </c>
      <c r="O28" s="45" t="s">
        <v>94</v>
      </c>
      <c r="P28" s="46">
        <v>0.23</v>
      </c>
      <c r="Q28" s="54"/>
      <c r="R28" s="45"/>
      <c r="S28" s="48">
        <v>152.264929577999</v>
      </c>
      <c r="T28" s="48"/>
      <c r="U28" s="48">
        <v>0</v>
      </c>
      <c r="V28" s="48">
        <f t="shared" si="9"/>
        <v>152.264929577999</v>
      </c>
      <c r="W28" s="50">
        <f t="shared" si="6"/>
        <v>0</v>
      </c>
      <c r="X28" s="50"/>
      <c r="Y28" s="50">
        <f t="shared" si="1"/>
        <v>0</v>
      </c>
      <c r="Z28" s="50">
        <f t="shared" si="2"/>
        <v>0</v>
      </c>
      <c r="AA28" s="51">
        <f t="shared" si="7"/>
        <v>0</v>
      </c>
      <c r="AB28" s="48">
        <f t="shared" si="8"/>
        <v>0</v>
      </c>
      <c r="AC28" s="46">
        <v>0.1038</v>
      </c>
      <c r="AD28" s="46"/>
      <c r="AE28" s="46"/>
      <c r="AF28" s="45"/>
      <c r="AG28" s="46" t="s">
        <v>137</v>
      </c>
    </row>
    <row r="29" spans="1:33" hidden="1" x14ac:dyDescent="0.25">
      <c r="A29" s="44" t="s">
        <v>70</v>
      </c>
      <c r="B29" s="45" t="s">
        <v>71</v>
      </c>
      <c r="C29" s="45" t="s">
        <v>127</v>
      </c>
      <c r="D29" s="45" t="s">
        <v>128</v>
      </c>
      <c r="E29" s="45" t="s">
        <v>141</v>
      </c>
      <c r="F29" s="45" t="s">
        <v>142</v>
      </c>
      <c r="G29" s="45" t="s">
        <v>76</v>
      </c>
      <c r="H29" s="45" t="s">
        <v>77</v>
      </c>
      <c r="I29" s="45" t="s">
        <v>78</v>
      </c>
      <c r="J29" s="45" t="s">
        <v>79</v>
      </c>
      <c r="K29" s="44" t="s">
        <v>3</v>
      </c>
      <c r="L29" s="53" t="s">
        <v>125</v>
      </c>
      <c r="M29" s="46"/>
      <c r="N29" s="44" t="s">
        <v>126</v>
      </c>
      <c r="O29" s="45" t="s">
        <v>94</v>
      </c>
      <c r="P29" s="46">
        <v>0.13</v>
      </c>
      <c r="Q29" s="54"/>
      <c r="R29" s="45"/>
      <c r="S29" s="48">
        <v>-30329.470000000099</v>
      </c>
      <c r="T29" s="48"/>
      <c r="U29" s="48">
        <v>0</v>
      </c>
      <c r="V29" s="48">
        <f t="shared" si="9"/>
        <v>-30329.470000000099</v>
      </c>
      <c r="W29" s="50">
        <f t="shared" si="6"/>
        <v>0</v>
      </c>
      <c r="X29" s="50"/>
      <c r="Y29" s="50">
        <f t="shared" si="1"/>
        <v>0</v>
      </c>
      <c r="Z29" s="50">
        <f t="shared" si="2"/>
        <v>0</v>
      </c>
      <c r="AA29" s="51">
        <f t="shared" si="7"/>
        <v>0</v>
      </c>
      <c r="AB29" s="48">
        <f t="shared" si="8"/>
        <v>0</v>
      </c>
      <c r="AC29" s="46">
        <v>0.1038</v>
      </c>
      <c r="AD29" s="46"/>
      <c r="AE29" s="46"/>
      <c r="AF29" s="45"/>
      <c r="AG29" s="46" t="s">
        <v>137</v>
      </c>
    </row>
    <row r="30" spans="1:33" hidden="1" x14ac:dyDescent="0.25">
      <c r="A30" s="44" t="s">
        <v>70</v>
      </c>
      <c r="B30" s="45" t="s">
        <v>71</v>
      </c>
      <c r="C30" s="45" t="s">
        <v>127</v>
      </c>
      <c r="D30" s="45" t="s">
        <v>128</v>
      </c>
      <c r="E30" s="45" t="s">
        <v>143</v>
      </c>
      <c r="F30" s="45" t="s">
        <v>144</v>
      </c>
      <c r="G30" s="45" t="s">
        <v>76</v>
      </c>
      <c r="H30" s="45" t="s">
        <v>77</v>
      </c>
      <c r="I30" s="45" t="s">
        <v>78</v>
      </c>
      <c r="J30" s="45" t="s">
        <v>79</v>
      </c>
      <c r="K30" s="44" t="s">
        <v>3</v>
      </c>
      <c r="L30" s="53" t="s">
        <v>125</v>
      </c>
      <c r="M30" s="46"/>
      <c r="N30" s="44" t="s">
        <v>126</v>
      </c>
      <c r="O30" s="45" t="s">
        <v>94</v>
      </c>
      <c r="P30" s="46">
        <v>0.03</v>
      </c>
      <c r="Q30" s="54"/>
      <c r="R30" s="45"/>
      <c r="S30" s="48">
        <v>425.555211267598</v>
      </c>
      <c r="T30" s="48"/>
      <c r="U30" s="48">
        <v>0</v>
      </c>
      <c r="V30" s="48">
        <f t="shared" si="9"/>
        <v>425.555211267598</v>
      </c>
      <c r="W30" s="50">
        <f t="shared" si="6"/>
        <v>0</v>
      </c>
      <c r="X30" s="50"/>
      <c r="Y30" s="50">
        <f t="shared" si="1"/>
        <v>0</v>
      </c>
      <c r="Z30" s="50">
        <f t="shared" si="2"/>
        <v>0</v>
      </c>
      <c r="AA30" s="51">
        <f t="shared" si="7"/>
        <v>0</v>
      </c>
      <c r="AB30" s="48">
        <f t="shared" si="8"/>
        <v>0</v>
      </c>
      <c r="AC30" s="46">
        <v>0.1038</v>
      </c>
      <c r="AD30" s="46"/>
      <c r="AE30" s="46"/>
      <c r="AF30" s="45"/>
      <c r="AG30" s="46">
        <v>0.42</v>
      </c>
    </row>
    <row r="31" spans="1:33" hidden="1" x14ac:dyDescent="0.25">
      <c r="A31" s="44" t="s">
        <v>70</v>
      </c>
      <c r="B31" s="45" t="s">
        <v>71</v>
      </c>
      <c r="C31" s="45" t="s">
        <v>127</v>
      </c>
      <c r="D31" s="45" t="s">
        <v>128</v>
      </c>
      <c r="E31" s="45" t="s">
        <v>145</v>
      </c>
      <c r="F31" s="45" t="s">
        <v>146</v>
      </c>
      <c r="G31" s="45" t="s">
        <v>76</v>
      </c>
      <c r="H31" s="45" t="s">
        <v>77</v>
      </c>
      <c r="I31" s="45" t="s">
        <v>78</v>
      </c>
      <c r="J31" s="45" t="s">
        <v>79</v>
      </c>
      <c r="K31" s="44" t="s">
        <v>3</v>
      </c>
      <c r="L31" s="53" t="s">
        <v>125</v>
      </c>
      <c r="M31" s="46"/>
      <c r="N31" s="44" t="s">
        <v>126</v>
      </c>
      <c r="O31" s="45" t="s">
        <v>94</v>
      </c>
      <c r="P31" s="46">
        <v>0.22</v>
      </c>
      <c r="Q31" s="54"/>
      <c r="R31" s="45"/>
      <c r="S31" s="48">
        <v>1402.38690140774</v>
      </c>
      <c r="T31" s="48"/>
      <c r="U31" s="48">
        <v>0</v>
      </c>
      <c r="V31" s="48">
        <f t="shared" si="9"/>
        <v>1402.38690140774</v>
      </c>
      <c r="W31" s="50">
        <f t="shared" si="6"/>
        <v>0</v>
      </c>
      <c r="X31" s="50"/>
      <c r="Y31" s="50">
        <f t="shared" si="1"/>
        <v>0</v>
      </c>
      <c r="Z31" s="50">
        <f t="shared" si="2"/>
        <v>0</v>
      </c>
      <c r="AA31" s="51">
        <f t="shared" si="7"/>
        <v>0</v>
      </c>
      <c r="AB31" s="48">
        <f t="shared" si="8"/>
        <v>0</v>
      </c>
      <c r="AC31" s="46">
        <v>0.1038</v>
      </c>
      <c r="AD31" s="46"/>
      <c r="AE31" s="46"/>
      <c r="AF31" s="45"/>
      <c r="AG31" s="46">
        <v>0.42</v>
      </c>
    </row>
    <row r="32" spans="1:33" hidden="1" x14ac:dyDescent="0.25">
      <c r="A32" s="44" t="s">
        <v>70</v>
      </c>
      <c r="B32" s="45" t="s">
        <v>71</v>
      </c>
      <c r="C32" s="45" t="s">
        <v>127</v>
      </c>
      <c r="D32" s="45" t="s">
        <v>128</v>
      </c>
      <c r="E32" s="45" t="s">
        <v>147</v>
      </c>
      <c r="F32" s="45" t="s">
        <v>148</v>
      </c>
      <c r="G32" s="45" t="s">
        <v>76</v>
      </c>
      <c r="H32" s="45" t="s">
        <v>77</v>
      </c>
      <c r="I32" s="45" t="s">
        <v>78</v>
      </c>
      <c r="J32" s="45" t="s">
        <v>79</v>
      </c>
      <c r="K32" s="44" t="s">
        <v>3</v>
      </c>
      <c r="L32" s="53" t="s">
        <v>125</v>
      </c>
      <c r="M32" s="46"/>
      <c r="N32" s="44" t="s">
        <v>126</v>
      </c>
      <c r="O32" s="45" t="s">
        <v>94</v>
      </c>
      <c r="P32" s="46">
        <v>0.23</v>
      </c>
      <c r="Q32" s="54"/>
      <c r="R32" s="45"/>
      <c r="S32" s="48">
        <v>12961.68</v>
      </c>
      <c r="T32" s="48"/>
      <c r="U32" s="48">
        <v>0</v>
      </c>
      <c r="V32" s="48">
        <f t="shared" si="9"/>
        <v>12961.68</v>
      </c>
      <c r="W32" s="50">
        <f t="shared" si="6"/>
        <v>0</v>
      </c>
      <c r="X32" s="50"/>
      <c r="Y32" s="50">
        <f t="shared" si="1"/>
        <v>0</v>
      </c>
      <c r="Z32" s="50">
        <f t="shared" si="2"/>
        <v>0</v>
      </c>
      <c r="AA32" s="51">
        <f t="shared" si="7"/>
        <v>0</v>
      </c>
      <c r="AB32" s="48">
        <f t="shared" si="8"/>
        <v>0</v>
      </c>
      <c r="AC32" s="46">
        <v>0.1038</v>
      </c>
      <c r="AD32" s="46"/>
      <c r="AE32" s="46"/>
      <c r="AF32" s="45"/>
      <c r="AG32" s="46">
        <v>0.42</v>
      </c>
    </row>
    <row r="33" spans="1:33" hidden="1" x14ac:dyDescent="0.25">
      <c r="A33" s="44" t="s">
        <v>70</v>
      </c>
      <c r="B33" s="45" t="s">
        <v>71</v>
      </c>
      <c r="C33" s="45" t="s">
        <v>127</v>
      </c>
      <c r="D33" s="45" t="s">
        <v>128</v>
      </c>
      <c r="E33" s="45" t="s">
        <v>149</v>
      </c>
      <c r="F33" s="45" t="s">
        <v>150</v>
      </c>
      <c r="G33" s="45" t="s">
        <v>76</v>
      </c>
      <c r="H33" s="45" t="s">
        <v>77</v>
      </c>
      <c r="I33" s="45" t="s">
        <v>78</v>
      </c>
      <c r="J33" s="45" t="s">
        <v>79</v>
      </c>
      <c r="K33" s="44" t="s">
        <v>3</v>
      </c>
      <c r="L33" s="53" t="s">
        <v>125</v>
      </c>
      <c r="M33" s="46"/>
      <c r="N33" s="44" t="s">
        <v>126</v>
      </c>
      <c r="O33" s="45" t="s">
        <v>94</v>
      </c>
      <c r="P33" s="46">
        <v>0.13</v>
      </c>
      <c r="Q33" s="54"/>
      <c r="R33" s="45"/>
      <c r="S33" s="48">
        <v>143.460985915328</v>
      </c>
      <c r="T33" s="48"/>
      <c r="U33" s="48">
        <v>0</v>
      </c>
      <c r="V33" s="48">
        <f t="shared" si="9"/>
        <v>143.460985915328</v>
      </c>
      <c r="W33" s="50">
        <f t="shared" si="6"/>
        <v>0</v>
      </c>
      <c r="X33" s="50"/>
      <c r="Y33" s="50">
        <f t="shared" si="1"/>
        <v>0</v>
      </c>
      <c r="Z33" s="50">
        <f t="shared" si="2"/>
        <v>0</v>
      </c>
      <c r="AA33" s="51">
        <f t="shared" si="7"/>
        <v>0</v>
      </c>
      <c r="AB33" s="48">
        <f t="shared" si="8"/>
        <v>0</v>
      </c>
      <c r="AC33" s="46">
        <v>0.1038</v>
      </c>
      <c r="AD33" s="46"/>
      <c r="AE33" s="46"/>
      <c r="AF33" s="45"/>
      <c r="AG33" s="46">
        <v>0.42</v>
      </c>
    </row>
    <row r="34" spans="1:33" hidden="1" x14ac:dyDescent="0.25">
      <c r="A34" s="44" t="s">
        <v>70</v>
      </c>
      <c r="B34" s="45" t="s">
        <v>71</v>
      </c>
      <c r="C34" s="45" t="s">
        <v>127</v>
      </c>
      <c r="D34" s="45" t="s">
        <v>128</v>
      </c>
      <c r="E34" s="45" t="s">
        <v>151</v>
      </c>
      <c r="F34" s="45" t="s">
        <v>152</v>
      </c>
      <c r="G34" s="45" t="s">
        <v>76</v>
      </c>
      <c r="H34" s="45" t="s">
        <v>77</v>
      </c>
      <c r="I34" s="45" t="s">
        <v>78</v>
      </c>
      <c r="J34" s="45" t="s">
        <v>79</v>
      </c>
      <c r="K34" s="44" t="s">
        <v>3</v>
      </c>
      <c r="L34" s="53" t="s">
        <v>125</v>
      </c>
      <c r="M34" s="46"/>
      <c r="N34" s="44" t="s">
        <v>126</v>
      </c>
      <c r="O34" s="45" t="s">
        <v>94</v>
      </c>
      <c r="P34" s="46">
        <v>0.23</v>
      </c>
      <c r="Q34" s="54"/>
      <c r="R34" s="45"/>
      <c r="S34" s="48">
        <v>2063.5353521120301</v>
      </c>
      <c r="T34" s="48"/>
      <c r="U34" s="48">
        <v>0</v>
      </c>
      <c r="V34" s="48">
        <f t="shared" si="9"/>
        <v>2063.5353521120301</v>
      </c>
      <c r="W34" s="50">
        <f t="shared" si="6"/>
        <v>0</v>
      </c>
      <c r="X34" s="50"/>
      <c r="Y34" s="50">
        <f t="shared" si="1"/>
        <v>0</v>
      </c>
      <c r="Z34" s="50">
        <f t="shared" si="2"/>
        <v>0</v>
      </c>
      <c r="AA34" s="51">
        <f t="shared" si="7"/>
        <v>0</v>
      </c>
      <c r="AB34" s="48">
        <f t="shared" si="8"/>
        <v>0</v>
      </c>
      <c r="AC34" s="46">
        <v>0.1038</v>
      </c>
      <c r="AD34" s="46"/>
      <c r="AE34" s="46"/>
      <c r="AF34" s="45"/>
      <c r="AG34" s="46">
        <v>0.42</v>
      </c>
    </row>
    <row r="35" spans="1:33" hidden="1" x14ac:dyDescent="0.25">
      <c r="A35" s="44" t="s">
        <v>70</v>
      </c>
      <c r="B35" s="45" t="s">
        <v>71</v>
      </c>
      <c r="C35" s="45" t="s">
        <v>127</v>
      </c>
      <c r="D35" s="45" t="s">
        <v>153</v>
      </c>
      <c r="E35" s="45" t="s">
        <v>154</v>
      </c>
      <c r="F35" s="45" t="s">
        <v>155</v>
      </c>
      <c r="G35" s="45" t="s">
        <v>76</v>
      </c>
      <c r="H35" s="45" t="s">
        <v>77</v>
      </c>
      <c r="I35" s="45" t="s">
        <v>78</v>
      </c>
      <c r="J35" s="45" t="s">
        <v>79</v>
      </c>
      <c r="K35" s="44" t="s">
        <v>3</v>
      </c>
      <c r="L35" s="53" t="s">
        <v>125</v>
      </c>
      <c r="M35" s="46"/>
      <c r="N35" s="44" t="s">
        <v>126</v>
      </c>
      <c r="O35" s="45" t="s">
        <v>94</v>
      </c>
      <c r="P35" s="46">
        <v>0.18</v>
      </c>
      <c r="Q35" s="54"/>
      <c r="R35" s="45"/>
      <c r="S35" s="48">
        <v>114142.344929578</v>
      </c>
      <c r="T35" s="48"/>
      <c r="U35" s="48">
        <v>0</v>
      </c>
      <c r="V35" s="48">
        <f t="shared" si="9"/>
        <v>114142.344929578</v>
      </c>
      <c r="W35" s="50">
        <f t="shared" si="6"/>
        <v>0</v>
      </c>
      <c r="X35" s="50"/>
      <c r="Y35" s="50">
        <f t="shared" si="1"/>
        <v>0</v>
      </c>
      <c r="Z35" s="50">
        <f t="shared" si="2"/>
        <v>0</v>
      </c>
      <c r="AA35" s="51">
        <f t="shared" si="7"/>
        <v>0</v>
      </c>
      <c r="AB35" s="48">
        <f t="shared" si="8"/>
        <v>0</v>
      </c>
      <c r="AC35" s="46">
        <v>0.1038</v>
      </c>
      <c r="AD35" s="46"/>
      <c r="AE35" s="46"/>
      <c r="AF35" s="45"/>
      <c r="AG35" s="46">
        <v>0.42</v>
      </c>
    </row>
    <row r="36" spans="1:33" hidden="1" x14ac:dyDescent="0.25">
      <c r="A36" s="44" t="s">
        <v>70</v>
      </c>
      <c r="B36" s="45" t="s">
        <v>71</v>
      </c>
      <c r="C36" s="45" t="s">
        <v>127</v>
      </c>
      <c r="D36" s="45" t="s">
        <v>153</v>
      </c>
      <c r="E36" s="45" t="s">
        <v>125</v>
      </c>
      <c r="F36" s="45" t="s">
        <v>156</v>
      </c>
      <c r="G36" s="45" t="s">
        <v>76</v>
      </c>
      <c r="H36" s="45" t="s">
        <v>77</v>
      </c>
      <c r="I36" s="45" t="s">
        <v>78</v>
      </c>
      <c r="J36" s="45" t="s">
        <v>79</v>
      </c>
      <c r="K36" s="44" t="s">
        <v>3</v>
      </c>
      <c r="L36" s="53" t="s">
        <v>125</v>
      </c>
      <c r="M36" s="46"/>
      <c r="N36" s="44" t="s">
        <v>126</v>
      </c>
      <c r="O36" s="45" t="s">
        <v>94</v>
      </c>
      <c r="P36" s="46">
        <v>0.08</v>
      </c>
      <c r="Q36" s="54"/>
      <c r="R36" s="45"/>
      <c r="S36" s="48">
        <v>29897.39</v>
      </c>
      <c r="T36" s="48"/>
      <c r="U36" s="48">
        <v>0</v>
      </c>
      <c r="V36" s="48">
        <f t="shared" si="9"/>
        <v>29897.39</v>
      </c>
      <c r="W36" s="50">
        <f t="shared" si="6"/>
        <v>0</v>
      </c>
      <c r="X36" s="50"/>
      <c r="Y36" s="50">
        <f t="shared" si="1"/>
        <v>0</v>
      </c>
      <c r="Z36" s="50">
        <f t="shared" si="2"/>
        <v>0</v>
      </c>
      <c r="AA36" s="51">
        <f t="shared" si="7"/>
        <v>0</v>
      </c>
      <c r="AB36" s="48">
        <f t="shared" si="8"/>
        <v>0</v>
      </c>
      <c r="AC36" s="46">
        <v>0.1038</v>
      </c>
      <c r="AD36" s="46"/>
      <c r="AE36" s="46"/>
      <c r="AF36" s="45"/>
      <c r="AG36" s="46">
        <v>0.42</v>
      </c>
    </row>
    <row r="37" spans="1:33" hidden="1" x14ac:dyDescent="0.25">
      <c r="A37" s="44" t="s">
        <v>70</v>
      </c>
      <c r="B37" s="45" t="s">
        <v>71</v>
      </c>
      <c r="C37" s="45" t="s">
        <v>127</v>
      </c>
      <c r="D37" s="45" t="s">
        <v>153</v>
      </c>
      <c r="E37" s="45" t="s">
        <v>157</v>
      </c>
      <c r="F37" s="45" t="s">
        <v>158</v>
      </c>
      <c r="G37" s="45" t="s">
        <v>76</v>
      </c>
      <c r="H37" s="45" t="s">
        <v>77</v>
      </c>
      <c r="I37" s="45" t="s">
        <v>78</v>
      </c>
      <c r="J37" s="45" t="s">
        <v>79</v>
      </c>
      <c r="K37" s="44" t="s">
        <v>3</v>
      </c>
      <c r="L37" s="53" t="s">
        <v>125</v>
      </c>
      <c r="M37" s="46"/>
      <c r="N37" s="44" t="s">
        <v>126</v>
      </c>
      <c r="O37" s="45" t="s">
        <v>94</v>
      </c>
      <c r="P37" s="46">
        <v>0.08</v>
      </c>
      <c r="Q37" s="54"/>
      <c r="R37" s="45"/>
      <c r="S37" s="48">
        <v>20014.111126760599</v>
      </c>
      <c r="T37" s="48"/>
      <c r="U37" s="48">
        <v>0</v>
      </c>
      <c r="V37" s="48">
        <f t="shared" si="9"/>
        <v>20014.111126760599</v>
      </c>
      <c r="W37" s="50">
        <f t="shared" si="6"/>
        <v>0</v>
      </c>
      <c r="X37" s="50"/>
      <c r="Y37" s="50">
        <f t="shared" si="1"/>
        <v>0</v>
      </c>
      <c r="Z37" s="50">
        <f t="shared" si="2"/>
        <v>0</v>
      </c>
      <c r="AA37" s="51">
        <f t="shared" si="7"/>
        <v>0</v>
      </c>
      <c r="AB37" s="48">
        <f t="shared" si="8"/>
        <v>0</v>
      </c>
      <c r="AC37" s="46">
        <v>0.1038</v>
      </c>
      <c r="AD37" s="46"/>
      <c r="AE37" s="46"/>
      <c r="AF37" s="45"/>
      <c r="AG37" s="46">
        <v>0.42</v>
      </c>
    </row>
    <row r="38" spans="1:33" hidden="1" x14ac:dyDescent="0.25">
      <c r="A38" s="44" t="s">
        <v>70</v>
      </c>
      <c r="B38" s="45" t="s">
        <v>71</v>
      </c>
      <c r="C38" s="45" t="s">
        <v>127</v>
      </c>
      <c r="D38" s="45" t="s">
        <v>153</v>
      </c>
      <c r="E38" s="45" t="s">
        <v>159</v>
      </c>
      <c r="F38" s="45" t="s">
        <v>160</v>
      </c>
      <c r="G38" s="45" t="s">
        <v>76</v>
      </c>
      <c r="H38" s="45" t="s">
        <v>77</v>
      </c>
      <c r="I38" s="45" t="s">
        <v>78</v>
      </c>
      <c r="J38" s="45" t="s">
        <v>79</v>
      </c>
      <c r="K38" s="44" t="s">
        <v>3</v>
      </c>
      <c r="L38" s="53" t="s">
        <v>125</v>
      </c>
      <c r="M38" s="46"/>
      <c r="N38" s="44" t="s">
        <v>126</v>
      </c>
      <c r="O38" s="45" t="s">
        <v>94</v>
      </c>
      <c r="P38" s="46">
        <v>0.04</v>
      </c>
      <c r="Q38" s="54"/>
      <c r="R38" s="45"/>
      <c r="S38" s="48">
        <v>322.47394365991897</v>
      </c>
      <c r="T38" s="48"/>
      <c r="U38" s="48">
        <v>0</v>
      </c>
      <c r="V38" s="48">
        <f t="shared" si="9"/>
        <v>322.47394365991897</v>
      </c>
      <c r="W38" s="50">
        <f t="shared" si="6"/>
        <v>0</v>
      </c>
      <c r="X38" s="50"/>
      <c r="Y38" s="50">
        <f t="shared" si="1"/>
        <v>0</v>
      </c>
      <c r="Z38" s="50">
        <f t="shared" si="2"/>
        <v>0</v>
      </c>
      <c r="AA38" s="51">
        <f t="shared" si="7"/>
        <v>0</v>
      </c>
      <c r="AB38" s="48">
        <f t="shared" si="8"/>
        <v>0</v>
      </c>
      <c r="AC38" s="46">
        <v>0.1038</v>
      </c>
      <c r="AD38" s="46"/>
      <c r="AE38" s="46"/>
      <c r="AF38" s="45"/>
      <c r="AG38" s="46">
        <v>0.42</v>
      </c>
    </row>
    <row r="39" spans="1:33" hidden="1" x14ac:dyDescent="0.25">
      <c r="A39" s="44" t="s">
        <v>70</v>
      </c>
      <c r="B39" s="45" t="s">
        <v>71</v>
      </c>
      <c r="C39" s="45" t="s">
        <v>127</v>
      </c>
      <c r="D39" s="45" t="s">
        <v>153</v>
      </c>
      <c r="E39" s="45" t="s">
        <v>161</v>
      </c>
      <c r="F39" s="45" t="s">
        <v>162</v>
      </c>
      <c r="G39" s="45" t="s">
        <v>76</v>
      </c>
      <c r="H39" s="45" t="s">
        <v>77</v>
      </c>
      <c r="I39" s="45" t="s">
        <v>78</v>
      </c>
      <c r="J39" s="45" t="s">
        <v>79</v>
      </c>
      <c r="K39" s="44" t="s">
        <v>3</v>
      </c>
      <c r="L39" s="53" t="s">
        <v>125</v>
      </c>
      <c r="M39" s="46"/>
      <c r="N39" s="44" t="s">
        <v>126</v>
      </c>
      <c r="O39" s="45" t="s">
        <v>94</v>
      </c>
      <c r="P39" s="46">
        <v>0.23</v>
      </c>
      <c r="Q39" s="54"/>
      <c r="R39" s="45"/>
      <c r="S39" s="48">
        <v>196.54507042269699</v>
      </c>
      <c r="T39" s="48"/>
      <c r="U39" s="48">
        <v>0</v>
      </c>
      <c r="V39" s="48">
        <f t="shared" si="9"/>
        <v>196.54507042269699</v>
      </c>
      <c r="W39" s="50">
        <f t="shared" si="6"/>
        <v>0</v>
      </c>
      <c r="X39" s="50"/>
      <c r="Y39" s="50">
        <f t="shared" si="1"/>
        <v>0</v>
      </c>
      <c r="Z39" s="50">
        <f t="shared" si="2"/>
        <v>0</v>
      </c>
      <c r="AA39" s="51">
        <f t="shared" si="7"/>
        <v>0</v>
      </c>
      <c r="AB39" s="48">
        <f t="shared" si="8"/>
        <v>0</v>
      </c>
      <c r="AC39" s="46">
        <v>0.1038</v>
      </c>
      <c r="AD39" s="46"/>
      <c r="AE39" s="46"/>
      <c r="AF39" s="45"/>
      <c r="AG39" s="46">
        <v>0.42</v>
      </c>
    </row>
    <row r="40" spans="1:33" hidden="1" x14ac:dyDescent="0.25">
      <c r="A40" s="44" t="s">
        <v>70</v>
      </c>
      <c r="B40" s="45" t="s">
        <v>71</v>
      </c>
      <c r="C40" s="45" t="s">
        <v>127</v>
      </c>
      <c r="D40" s="45" t="s">
        <v>153</v>
      </c>
      <c r="E40" s="45" t="s">
        <v>163</v>
      </c>
      <c r="F40" s="45" t="s">
        <v>164</v>
      </c>
      <c r="G40" s="45" t="s">
        <v>76</v>
      </c>
      <c r="H40" s="45" t="s">
        <v>77</v>
      </c>
      <c r="I40" s="45" t="s">
        <v>78</v>
      </c>
      <c r="J40" s="45" t="s">
        <v>79</v>
      </c>
      <c r="K40" s="44" t="s">
        <v>3</v>
      </c>
      <c r="L40" s="53" t="s">
        <v>125</v>
      </c>
      <c r="M40" s="46"/>
      <c r="N40" s="44" t="s">
        <v>126</v>
      </c>
      <c r="O40" s="45" t="s">
        <v>94</v>
      </c>
      <c r="P40" s="46">
        <v>0.03</v>
      </c>
      <c r="Q40" s="54"/>
      <c r="R40" s="45"/>
      <c r="S40" s="48">
        <v>1513.0032394366101</v>
      </c>
      <c r="T40" s="48"/>
      <c r="U40" s="48">
        <v>0</v>
      </c>
      <c r="V40" s="48">
        <f t="shared" si="9"/>
        <v>1513.0032394366101</v>
      </c>
      <c r="W40" s="50">
        <f t="shared" si="6"/>
        <v>0</v>
      </c>
      <c r="X40" s="50"/>
      <c r="Y40" s="50">
        <f t="shared" si="1"/>
        <v>0</v>
      </c>
      <c r="Z40" s="50">
        <f t="shared" si="2"/>
        <v>0</v>
      </c>
      <c r="AA40" s="51">
        <f t="shared" si="7"/>
        <v>0</v>
      </c>
      <c r="AB40" s="48">
        <f t="shared" si="8"/>
        <v>0</v>
      </c>
      <c r="AC40" s="46">
        <v>0.1038</v>
      </c>
      <c r="AD40" s="46"/>
      <c r="AE40" s="46"/>
      <c r="AF40" s="45"/>
      <c r="AG40" s="46">
        <v>0.42</v>
      </c>
    </row>
    <row r="41" spans="1:33" hidden="1" x14ac:dyDescent="0.25">
      <c r="A41" s="44" t="s">
        <v>70</v>
      </c>
      <c r="B41" s="45" t="s">
        <v>71</v>
      </c>
      <c r="C41" s="45" t="s">
        <v>127</v>
      </c>
      <c r="D41" s="45" t="s">
        <v>153</v>
      </c>
      <c r="E41" s="45" t="s">
        <v>165</v>
      </c>
      <c r="F41" s="45" t="s">
        <v>166</v>
      </c>
      <c r="G41" s="45" t="s">
        <v>76</v>
      </c>
      <c r="H41" s="45" t="s">
        <v>77</v>
      </c>
      <c r="I41" s="45" t="s">
        <v>78</v>
      </c>
      <c r="J41" s="45" t="s">
        <v>79</v>
      </c>
      <c r="K41" s="44" t="s">
        <v>3</v>
      </c>
      <c r="L41" s="53" t="s">
        <v>125</v>
      </c>
      <c r="M41" s="46"/>
      <c r="N41" s="44" t="s">
        <v>126</v>
      </c>
      <c r="O41" s="45" t="s">
        <v>94</v>
      </c>
      <c r="P41" s="46">
        <v>0.03</v>
      </c>
      <c r="Q41" s="54"/>
      <c r="R41" s="45"/>
      <c r="S41" s="48">
        <v>6504.6216901406997</v>
      </c>
      <c r="T41" s="48"/>
      <c r="U41" s="48">
        <v>0</v>
      </c>
      <c r="V41" s="48">
        <f t="shared" si="9"/>
        <v>6504.6216901406997</v>
      </c>
      <c r="W41" s="50">
        <f t="shared" si="6"/>
        <v>0</v>
      </c>
      <c r="X41" s="50"/>
      <c r="Y41" s="50">
        <f t="shared" si="1"/>
        <v>0</v>
      </c>
      <c r="Z41" s="50">
        <f t="shared" si="2"/>
        <v>0</v>
      </c>
      <c r="AA41" s="51">
        <f t="shared" si="7"/>
        <v>0</v>
      </c>
      <c r="AB41" s="48">
        <f t="shared" si="8"/>
        <v>0</v>
      </c>
      <c r="AC41" s="46">
        <v>0.1038</v>
      </c>
      <c r="AD41" s="46"/>
      <c r="AE41" s="46"/>
      <c r="AF41" s="45"/>
      <c r="AG41" s="46">
        <v>0</v>
      </c>
    </row>
    <row r="42" spans="1:33" hidden="1" x14ac:dyDescent="0.25">
      <c r="A42" s="44" t="s">
        <v>70</v>
      </c>
      <c r="B42" s="45" t="s">
        <v>71</v>
      </c>
      <c r="C42" s="45" t="s">
        <v>127</v>
      </c>
      <c r="D42" s="45" t="s">
        <v>153</v>
      </c>
      <c r="E42" s="45" t="s">
        <v>167</v>
      </c>
      <c r="F42" s="45" t="s">
        <v>168</v>
      </c>
      <c r="G42" s="45" t="s">
        <v>76</v>
      </c>
      <c r="H42" s="45" t="s">
        <v>77</v>
      </c>
      <c r="I42" s="45" t="s">
        <v>78</v>
      </c>
      <c r="J42" s="45" t="s">
        <v>79</v>
      </c>
      <c r="K42" s="44" t="s">
        <v>3</v>
      </c>
      <c r="L42" s="53" t="s">
        <v>125</v>
      </c>
      <c r="M42" s="46"/>
      <c r="N42" s="44" t="s">
        <v>126</v>
      </c>
      <c r="O42" s="45" t="s">
        <v>94</v>
      </c>
      <c r="P42" s="46">
        <v>0.18</v>
      </c>
      <c r="Q42" s="54"/>
      <c r="R42" s="45"/>
      <c r="S42" s="48">
        <v>44820.261970721403</v>
      </c>
      <c r="T42" s="48"/>
      <c r="U42" s="48">
        <v>0</v>
      </c>
      <c r="V42" s="48">
        <f t="shared" si="9"/>
        <v>44820.261970721403</v>
      </c>
      <c r="W42" s="50">
        <f t="shared" si="6"/>
        <v>0</v>
      </c>
      <c r="X42" s="50"/>
      <c r="Y42" s="50">
        <f t="shared" si="1"/>
        <v>0</v>
      </c>
      <c r="Z42" s="50">
        <f t="shared" si="2"/>
        <v>0</v>
      </c>
      <c r="AA42" s="51">
        <f t="shared" si="7"/>
        <v>0</v>
      </c>
      <c r="AB42" s="48">
        <f t="shared" si="8"/>
        <v>0</v>
      </c>
      <c r="AC42" s="46">
        <v>0.1038</v>
      </c>
      <c r="AD42" s="46"/>
      <c r="AE42" s="46"/>
      <c r="AF42" s="45"/>
      <c r="AG42" s="46">
        <v>0.42</v>
      </c>
    </row>
    <row r="43" spans="1:33" hidden="1" x14ac:dyDescent="0.25">
      <c r="A43" s="44" t="s">
        <v>70</v>
      </c>
      <c r="B43" s="45" t="s">
        <v>71</v>
      </c>
      <c r="C43" s="45" t="s">
        <v>127</v>
      </c>
      <c r="D43" s="45" t="s">
        <v>153</v>
      </c>
      <c r="E43" s="45" t="s">
        <v>169</v>
      </c>
      <c r="F43" s="45" t="s">
        <v>170</v>
      </c>
      <c r="G43" s="45" t="s">
        <v>76</v>
      </c>
      <c r="H43" s="45" t="s">
        <v>77</v>
      </c>
      <c r="I43" s="45" t="s">
        <v>78</v>
      </c>
      <c r="J43" s="45" t="s">
        <v>79</v>
      </c>
      <c r="K43" s="44" t="s">
        <v>3</v>
      </c>
      <c r="L43" s="53" t="s">
        <v>125</v>
      </c>
      <c r="M43" s="46"/>
      <c r="N43" s="44" t="s">
        <v>126</v>
      </c>
      <c r="O43" s="45" t="s">
        <v>94</v>
      </c>
      <c r="P43" s="46">
        <v>0.23</v>
      </c>
      <c r="Q43" s="54"/>
      <c r="R43" s="45"/>
      <c r="S43" s="48">
        <v>132154.611549297</v>
      </c>
      <c r="T43" s="48"/>
      <c r="U43" s="48">
        <v>0</v>
      </c>
      <c r="V43" s="48">
        <f t="shared" si="9"/>
        <v>132154.611549297</v>
      </c>
      <c r="W43" s="50">
        <f t="shared" si="6"/>
        <v>0</v>
      </c>
      <c r="X43" s="50"/>
      <c r="Y43" s="50">
        <f t="shared" si="1"/>
        <v>0</v>
      </c>
      <c r="Z43" s="50">
        <f t="shared" si="2"/>
        <v>0</v>
      </c>
      <c r="AA43" s="51">
        <f t="shared" si="7"/>
        <v>0</v>
      </c>
      <c r="AB43" s="48">
        <f t="shared" si="8"/>
        <v>0</v>
      </c>
      <c r="AC43" s="46">
        <v>0.1038</v>
      </c>
      <c r="AD43" s="46"/>
      <c r="AE43" s="46"/>
      <c r="AF43" s="45"/>
      <c r="AG43" s="46">
        <v>0.42</v>
      </c>
    </row>
    <row r="44" spans="1:33" hidden="1" x14ac:dyDescent="0.25">
      <c r="A44" s="44" t="s">
        <v>70</v>
      </c>
      <c r="B44" s="45" t="s">
        <v>71</v>
      </c>
      <c r="C44" s="45" t="s">
        <v>127</v>
      </c>
      <c r="D44" s="45" t="s">
        <v>153</v>
      </c>
      <c r="E44" s="45" t="s">
        <v>171</v>
      </c>
      <c r="F44" s="45" t="s">
        <v>172</v>
      </c>
      <c r="G44" s="45" t="s">
        <v>76</v>
      </c>
      <c r="H44" s="45" t="s">
        <v>77</v>
      </c>
      <c r="I44" s="45" t="s">
        <v>78</v>
      </c>
      <c r="J44" s="45" t="s">
        <v>79</v>
      </c>
      <c r="K44" s="44" t="s">
        <v>3</v>
      </c>
      <c r="L44" s="53" t="s">
        <v>125</v>
      </c>
      <c r="M44" s="46"/>
      <c r="N44" s="44" t="s">
        <v>126</v>
      </c>
      <c r="O44" s="45" t="s">
        <v>94</v>
      </c>
      <c r="P44" s="46">
        <v>0.03</v>
      </c>
      <c r="Q44" s="54"/>
      <c r="R44" s="45"/>
      <c r="S44" s="48">
        <v>14157.309295774699</v>
      </c>
      <c r="T44" s="48"/>
      <c r="U44" s="48">
        <v>0</v>
      </c>
      <c r="V44" s="48">
        <f t="shared" si="9"/>
        <v>14157.309295774699</v>
      </c>
      <c r="W44" s="50">
        <f t="shared" si="6"/>
        <v>0</v>
      </c>
      <c r="X44" s="50"/>
      <c r="Y44" s="50">
        <f t="shared" si="1"/>
        <v>0</v>
      </c>
      <c r="Z44" s="50">
        <f t="shared" si="2"/>
        <v>0</v>
      </c>
      <c r="AA44" s="51">
        <f t="shared" si="7"/>
        <v>0</v>
      </c>
      <c r="AB44" s="48">
        <f t="shared" si="8"/>
        <v>0</v>
      </c>
      <c r="AC44" s="46">
        <v>0.1038</v>
      </c>
      <c r="AD44" s="46"/>
      <c r="AE44" s="46"/>
      <c r="AF44" s="45"/>
      <c r="AG44" s="46">
        <v>0.42</v>
      </c>
    </row>
    <row r="45" spans="1:33" hidden="1" x14ac:dyDescent="0.25">
      <c r="A45" s="44" t="s">
        <v>70</v>
      </c>
      <c r="B45" s="45" t="s">
        <v>71</v>
      </c>
      <c r="C45" s="45" t="s">
        <v>127</v>
      </c>
      <c r="D45" s="45" t="s">
        <v>153</v>
      </c>
      <c r="E45" s="45" t="s">
        <v>173</v>
      </c>
      <c r="F45" s="45" t="s">
        <v>174</v>
      </c>
      <c r="G45" s="45" t="s">
        <v>76</v>
      </c>
      <c r="H45" s="45" t="s">
        <v>77</v>
      </c>
      <c r="I45" s="45" t="s">
        <v>78</v>
      </c>
      <c r="J45" s="45" t="s">
        <v>79</v>
      </c>
      <c r="K45" s="44" t="s">
        <v>3</v>
      </c>
      <c r="L45" s="53" t="s">
        <v>125</v>
      </c>
      <c r="M45" s="46"/>
      <c r="N45" s="44" t="s">
        <v>126</v>
      </c>
      <c r="O45" s="45" t="s">
        <v>94</v>
      </c>
      <c r="P45" s="46">
        <v>0.03</v>
      </c>
      <c r="Q45" s="54"/>
      <c r="R45" s="45"/>
      <c r="S45" s="48">
        <v>480.55873239384499</v>
      </c>
      <c r="T45" s="48"/>
      <c r="U45" s="48">
        <v>0</v>
      </c>
      <c r="V45" s="48">
        <f t="shared" si="9"/>
        <v>480.55873239384499</v>
      </c>
      <c r="W45" s="50">
        <f t="shared" si="6"/>
        <v>0</v>
      </c>
      <c r="X45" s="50"/>
      <c r="Y45" s="50">
        <f t="shared" si="1"/>
        <v>0</v>
      </c>
      <c r="Z45" s="50">
        <f t="shared" si="2"/>
        <v>0</v>
      </c>
      <c r="AA45" s="51">
        <f t="shared" si="7"/>
        <v>0</v>
      </c>
      <c r="AB45" s="48">
        <f t="shared" si="8"/>
        <v>0</v>
      </c>
      <c r="AC45" s="46">
        <v>0.1038</v>
      </c>
      <c r="AD45" s="46"/>
      <c r="AE45" s="46"/>
      <c r="AF45" s="45"/>
      <c r="AG45" s="46" t="s">
        <v>137</v>
      </c>
    </row>
    <row r="46" spans="1:33" hidden="1" x14ac:dyDescent="0.25">
      <c r="A46" s="44" t="s">
        <v>70</v>
      </c>
      <c r="B46" s="45" t="s">
        <v>71</v>
      </c>
      <c r="C46" s="45" t="s">
        <v>127</v>
      </c>
      <c r="D46" s="45" t="s">
        <v>153</v>
      </c>
      <c r="E46" s="45" t="s">
        <v>175</v>
      </c>
      <c r="F46" s="45" t="s">
        <v>176</v>
      </c>
      <c r="G46" s="45" t="s">
        <v>76</v>
      </c>
      <c r="H46" s="45" t="s">
        <v>77</v>
      </c>
      <c r="I46" s="45" t="s">
        <v>78</v>
      </c>
      <c r="J46" s="45" t="s">
        <v>79</v>
      </c>
      <c r="K46" s="44" t="s">
        <v>3</v>
      </c>
      <c r="L46" s="53" t="s">
        <v>125</v>
      </c>
      <c r="M46" s="46"/>
      <c r="N46" s="44" t="s">
        <v>126</v>
      </c>
      <c r="O46" s="45" t="s">
        <v>94</v>
      </c>
      <c r="P46" s="46">
        <v>0.23</v>
      </c>
      <c r="Q46" s="54"/>
      <c r="R46" s="45"/>
      <c r="S46" s="48">
        <v>88.72</v>
      </c>
      <c r="T46" s="48"/>
      <c r="U46" s="48">
        <v>0</v>
      </c>
      <c r="V46" s="48">
        <f t="shared" si="9"/>
        <v>88.72</v>
      </c>
      <c r="W46" s="50">
        <f t="shared" si="6"/>
        <v>0</v>
      </c>
      <c r="X46" s="50"/>
      <c r="Y46" s="50">
        <f t="shared" si="1"/>
        <v>0</v>
      </c>
      <c r="Z46" s="50">
        <f t="shared" si="2"/>
        <v>0</v>
      </c>
      <c r="AA46" s="51">
        <f t="shared" si="7"/>
        <v>0</v>
      </c>
      <c r="AB46" s="48">
        <f t="shared" si="8"/>
        <v>0</v>
      </c>
      <c r="AC46" s="46">
        <v>0.1038</v>
      </c>
      <c r="AD46" s="46"/>
      <c r="AE46" s="46"/>
      <c r="AF46" s="45"/>
      <c r="AG46" s="46">
        <v>0.42</v>
      </c>
    </row>
    <row r="47" spans="1:33" hidden="1" x14ac:dyDescent="0.25">
      <c r="A47" s="44" t="s">
        <v>70</v>
      </c>
      <c r="B47" s="45" t="s">
        <v>71</v>
      </c>
      <c r="C47" s="45" t="s">
        <v>127</v>
      </c>
      <c r="D47" s="45" t="s">
        <v>153</v>
      </c>
      <c r="E47" s="45" t="s">
        <v>177</v>
      </c>
      <c r="F47" s="45" t="s">
        <v>178</v>
      </c>
      <c r="G47" s="45" t="s">
        <v>76</v>
      </c>
      <c r="H47" s="45" t="s">
        <v>77</v>
      </c>
      <c r="I47" s="45" t="s">
        <v>78</v>
      </c>
      <c r="J47" s="45" t="s">
        <v>79</v>
      </c>
      <c r="K47" s="44" t="s">
        <v>3</v>
      </c>
      <c r="L47" s="53" t="s">
        <v>125</v>
      </c>
      <c r="M47" s="46"/>
      <c r="N47" s="44" t="s">
        <v>126</v>
      </c>
      <c r="O47" s="45" t="s">
        <v>94</v>
      </c>
      <c r="P47" s="46">
        <v>0.18</v>
      </c>
      <c r="Q47" s="54"/>
      <c r="R47" s="45"/>
      <c r="S47" s="48">
        <v>147.29985915508601</v>
      </c>
      <c r="T47" s="48"/>
      <c r="U47" s="48">
        <v>0</v>
      </c>
      <c r="V47" s="48">
        <f t="shared" si="9"/>
        <v>147.29985915508601</v>
      </c>
      <c r="W47" s="50">
        <f t="shared" si="6"/>
        <v>0</v>
      </c>
      <c r="X47" s="50"/>
      <c r="Y47" s="50">
        <f t="shared" si="1"/>
        <v>0</v>
      </c>
      <c r="Z47" s="50">
        <f t="shared" si="2"/>
        <v>0</v>
      </c>
      <c r="AA47" s="51">
        <f t="shared" si="7"/>
        <v>0</v>
      </c>
      <c r="AB47" s="48">
        <f t="shared" si="8"/>
        <v>0</v>
      </c>
      <c r="AC47" s="46">
        <v>0.1038</v>
      </c>
      <c r="AD47" s="46"/>
      <c r="AE47" s="46"/>
      <c r="AF47" s="45"/>
      <c r="AG47" s="46">
        <v>0.42</v>
      </c>
    </row>
    <row r="48" spans="1:33" hidden="1" x14ac:dyDescent="0.25">
      <c r="A48" s="44" t="s">
        <v>70</v>
      </c>
      <c r="B48" s="45" t="s">
        <v>71</v>
      </c>
      <c r="C48" s="45" t="s">
        <v>127</v>
      </c>
      <c r="D48" s="45" t="s">
        <v>153</v>
      </c>
      <c r="E48" s="45" t="s">
        <v>179</v>
      </c>
      <c r="F48" s="45" t="s">
        <v>180</v>
      </c>
      <c r="G48" s="45" t="s">
        <v>76</v>
      </c>
      <c r="H48" s="45" t="s">
        <v>77</v>
      </c>
      <c r="I48" s="45" t="s">
        <v>78</v>
      </c>
      <c r="J48" s="45" t="s">
        <v>79</v>
      </c>
      <c r="K48" s="44" t="s">
        <v>3</v>
      </c>
      <c r="L48" s="53" t="s">
        <v>125</v>
      </c>
      <c r="M48" s="46"/>
      <c r="N48" s="44" t="s">
        <v>126</v>
      </c>
      <c r="O48" s="45" t="s">
        <v>94</v>
      </c>
      <c r="P48" s="46">
        <v>0.18</v>
      </c>
      <c r="Q48" s="54"/>
      <c r="R48" s="45"/>
      <c r="S48" s="48">
        <v>4215.2245070423196</v>
      </c>
      <c r="T48" s="48"/>
      <c r="U48" s="48">
        <v>0</v>
      </c>
      <c r="V48" s="48">
        <f t="shared" si="9"/>
        <v>4215.2245070423196</v>
      </c>
      <c r="W48" s="50">
        <f t="shared" si="6"/>
        <v>0</v>
      </c>
      <c r="X48" s="50"/>
      <c r="Y48" s="50">
        <f t="shared" si="1"/>
        <v>0</v>
      </c>
      <c r="Z48" s="50">
        <f t="shared" si="2"/>
        <v>0</v>
      </c>
      <c r="AA48" s="51">
        <f t="shared" si="7"/>
        <v>0</v>
      </c>
      <c r="AB48" s="48">
        <f t="shared" si="8"/>
        <v>0</v>
      </c>
      <c r="AC48" s="46">
        <v>0.1038</v>
      </c>
      <c r="AD48" s="46"/>
      <c r="AE48" s="46"/>
      <c r="AF48" s="45"/>
      <c r="AG48" s="46">
        <v>0.42</v>
      </c>
    </row>
    <row r="49" spans="1:33" hidden="1" x14ac:dyDescent="0.25">
      <c r="A49" s="44" t="s">
        <v>70</v>
      </c>
      <c r="B49" s="45" t="s">
        <v>71</v>
      </c>
      <c r="C49" s="45" t="s">
        <v>127</v>
      </c>
      <c r="D49" s="45" t="s">
        <v>153</v>
      </c>
      <c r="E49" s="45" t="s">
        <v>181</v>
      </c>
      <c r="F49" s="45" t="s">
        <v>182</v>
      </c>
      <c r="G49" s="45" t="s">
        <v>76</v>
      </c>
      <c r="H49" s="45" t="s">
        <v>77</v>
      </c>
      <c r="I49" s="45" t="s">
        <v>78</v>
      </c>
      <c r="J49" s="45" t="s">
        <v>79</v>
      </c>
      <c r="K49" s="44" t="s">
        <v>3</v>
      </c>
      <c r="L49" s="53" t="s">
        <v>125</v>
      </c>
      <c r="M49" s="46"/>
      <c r="N49" s="44" t="s">
        <v>126</v>
      </c>
      <c r="O49" s="45" t="s">
        <v>94</v>
      </c>
      <c r="P49" s="46">
        <v>0.23</v>
      </c>
      <c r="Q49" s="54"/>
      <c r="R49" s="45"/>
      <c r="S49" s="48">
        <v>127.3395774647</v>
      </c>
      <c r="T49" s="48"/>
      <c r="U49" s="48">
        <v>0</v>
      </c>
      <c r="V49" s="48">
        <f t="shared" si="9"/>
        <v>127.3395774647</v>
      </c>
      <c r="W49" s="50">
        <f t="shared" si="6"/>
        <v>0</v>
      </c>
      <c r="X49" s="50"/>
      <c r="Y49" s="50">
        <f t="shared" si="1"/>
        <v>0</v>
      </c>
      <c r="Z49" s="50">
        <f t="shared" si="2"/>
        <v>0</v>
      </c>
      <c r="AA49" s="51">
        <f t="shared" si="7"/>
        <v>0</v>
      </c>
      <c r="AB49" s="48">
        <f t="shared" si="8"/>
        <v>0</v>
      </c>
      <c r="AC49" s="46">
        <v>0.1038</v>
      </c>
      <c r="AD49" s="46"/>
      <c r="AE49" s="46"/>
      <c r="AF49" s="45"/>
      <c r="AG49" s="46">
        <v>0.42</v>
      </c>
    </row>
    <row r="50" spans="1:33" hidden="1" x14ac:dyDescent="0.25">
      <c r="A50" s="44" t="s">
        <v>70</v>
      </c>
      <c r="B50" s="45" t="s">
        <v>71</v>
      </c>
      <c r="C50" s="45" t="s">
        <v>127</v>
      </c>
      <c r="D50" s="45" t="s">
        <v>153</v>
      </c>
      <c r="E50" s="45" t="s">
        <v>183</v>
      </c>
      <c r="F50" s="45" t="s">
        <v>184</v>
      </c>
      <c r="G50" s="45" t="s">
        <v>76</v>
      </c>
      <c r="H50" s="45" t="s">
        <v>77</v>
      </c>
      <c r="I50" s="45" t="s">
        <v>78</v>
      </c>
      <c r="J50" s="45" t="s">
        <v>79</v>
      </c>
      <c r="K50" s="44" t="s">
        <v>3</v>
      </c>
      <c r="L50" s="53" t="s">
        <v>125</v>
      </c>
      <c r="M50" s="46"/>
      <c r="N50" s="44" t="s">
        <v>126</v>
      </c>
      <c r="O50" s="45" t="s">
        <v>94</v>
      </c>
      <c r="P50" s="46">
        <v>0.23</v>
      </c>
      <c r="Q50" s="54"/>
      <c r="R50" s="45"/>
      <c r="S50" s="48">
        <v>172.66352112698999</v>
      </c>
      <c r="T50" s="48"/>
      <c r="U50" s="48">
        <v>0</v>
      </c>
      <c r="V50" s="48">
        <f t="shared" si="9"/>
        <v>172.66352112698999</v>
      </c>
      <c r="W50" s="50">
        <f t="shared" si="6"/>
        <v>0</v>
      </c>
      <c r="X50" s="50"/>
      <c r="Y50" s="50">
        <f t="shared" si="1"/>
        <v>0</v>
      </c>
      <c r="Z50" s="50">
        <f t="shared" si="2"/>
        <v>0</v>
      </c>
      <c r="AA50" s="51">
        <f t="shared" si="7"/>
        <v>0</v>
      </c>
      <c r="AB50" s="48">
        <f t="shared" si="8"/>
        <v>0</v>
      </c>
      <c r="AC50" s="46">
        <v>0.1038</v>
      </c>
      <c r="AD50" s="46"/>
      <c r="AE50" s="46"/>
      <c r="AF50" s="45"/>
      <c r="AG50" s="46">
        <v>0.42</v>
      </c>
    </row>
    <row r="51" spans="1:33" hidden="1" x14ac:dyDescent="0.25">
      <c r="A51" s="44" t="s">
        <v>70</v>
      </c>
      <c r="B51" s="45" t="s">
        <v>71</v>
      </c>
      <c r="C51" s="45" t="s">
        <v>127</v>
      </c>
      <c r="D51" s="45" t="s">
        <v>153</v>
      </c>
      <c r="E51" s="45" t="s">
        <v>185</v>
      </c>
      <c r="F51" s="45" t="s">
        <v>186</v>
      </c>
      <c r="G51" s="45" t="s">
        <v>76</v>
      </c>
      <c r="H51" s="45" t="s">
        <v>77</v>
      </c>
      <c r="I51" s="45" t="s">
        <v>78</v>
      </c>
      <c r="J51" s="45" t="s">
        <v>79</v>
      </c>
      <c r="K51" s="44" t="s">
        <v>3</v>
      </c>
      <c r="L51" s="53" t="s">
        <v>125</v>
      </c>
      <c r="M51" s="46"/>
      <c r="N51" s="44" t="s">
        <v>126</v>
      </c>
      <c r="O51" s="45" t="s">
        <v>94</v>
      </c>
      <c r="P51" s="46">
        <v>0.08</v>
      </c>
      <c r="Q51" s="54"/>
      <c r="R51" s="45"/>
      <c r="S51" s="48">
        <v>11055.15</v>
      </c>
      <c r="T51" s="48"/>
      <c r="U51" s="48">
        <v>0</v>
      </c>
      <c r="V51" s="48">
        <f t="shared" si="9"/>
        <v>11055.15</v>
      </c>
      <c r="W51" s="50">
        <f t="shared" si="6"/>
        <v>0</v>
      </c>
      <c r="X51" s="50"/>
      <c r="Y51" s="50">
        <f t="shared" si="1"/>
        <v>0</v>
      </c>
      <c r="Z51" s="50">
        <f t="shared" si="2"/>
        <v>0</v>
      </c>
      <c r="AA51" s="51">
        <f t="shared" si="7"/>
        <v>0</v>
      </c>
      <c r="AB51" s="48">
        <f t="shared" si="8"/>
        <v>0</v>
      </c>
      <c r="AC51" s="46">
        <v>0.1038</v>
      </c>
      <c r="AD51" s="46"/>
      <c r="AE51" s="46"/>
      <c r="AF51" s="45"/>
      <c r="AG51" s="46">
        <v>0.42</v>
      </c>
    </row>
    <row r="52" spans="1:33" hidden="1" x14ac:dyDescent="0.25">
      <c r="A52" s="44" t="s">
        <v>70</v>
      </c>
      <c r="B52" s="45" t="s">
        <v>3</v>
      </c>
      <c r="C52" s="45" t="s">
        <v>72</v>
      </c>
      <c r="D52" s="45" t="s">
        <v>187</v>
      </c>
      <c r="E52" s="45" t="s">
        <v>188</v>
      </c>
      <c r="F52" s="45" t="s">
        <v>188</v>
      </c>
      <c r="G52" s="45" t="s">
        <v>188</v>
      </c>
      <c r="H52" s="45" t="s">
        <v>77</v>
      </c>
      <c r="I52" s="45" t="s">
        <v>78</v>
      </c>
      <c r="J52" s="45" t="s">
        <v>79</v>
      </c>
      <c r="K52" s="44" t="s">
        <v>3</v>
      </c>
      <c r="L52" s="53" t="s">
        <v>188</v>
      </c>
      <c r="M52" s="46"/>
      <c r="N52" s="44" t="s">
        <v>126</v>
      </c>
      <c r="O52" s="45" t="s">
        <v>94</v>
      </c>
      <c r="P52" s="46">
        <v>0.05</v>
      </c>
      <c r="Q52" s="54"/>
      <c r="R52" s="45"/>
      <c r="S52" s="48">
        <v>15503.97</v>
      </c>
      <c r="T52" s="48"/>
      <c r="U52" s="48">
        <v>0</v>
      </c>
      <c r="V52" s="48">
        <f t="shared" si="9"/>
        <v>15503.97</v>
      </c>
      <c r="W52" s="50">
        <f t="shared" si="6"/>
        <v>0</v>
      </c>
      <c r="X52" s="50"/>
      <c r="Y52" s="50">
        <f t="shared" si="1"/>
        <v>0</v>
      </c>
      <c r="Z52" s="50">
        <f t="shared" si="2"/>
        <v>0</v>
      </c>
      <c r="AA52" s="51">
        <f t="shared" si="7"/>
        <v>0</v>
      </c>
      <c r="AB52" s="48">
        <f t="shared" si="8"/>
        <v>0</v>
      </c>
      <c r="AC52" s="46">
        <v>0.1038</v>
      </c>
      <c r="AD52" s="46"/>
      <c r="AE52" s="46"/>
      <c r="AF52" s="45"/>
      <c r="AG52" s="46">
        <v>0.36</v>
      </c>
    </row>
    <row r="53" spans="1:33" hidden="1" x14ac:dyDescent="0.25">
      <c r="A53" s="44" t="s">
        <v>70</v>
      </c>
      <c r="B53" s="45" t="s">
        <v>71</v>
      </c>
      <c r="C53" s="45" t="s">
        <v>90</v>
      </c>
      <c r="D53" s="45" t="s">
        <v>114</v>
      </c>
      <c r="E53" s="45" t="s">
        <v>189</v>
      </c>
      <c r="F53" s="45" t="s">
        <v>190</v>
      </c>
      <c r="G53" s="45" t="s">
        <v>76</v>
      </c>
      <c r="H53" s="45" t="s">
        <v>77</v>
      </c>
      <c r="I53" s="45" t="s">
        <v>78</v>
      </c>
      <c r="J53" s="45" t="s">
        <v>79</v>
      </c>
      <c r="K53" s="44" t="s">
        <v>3</v>
      </c>
      <c r="L53" s="53" t="s">
        <v>189</v>
      </c>
      <c r="M53" s="46"/>
      <c r="N53" s="44" t="s">
        <v>80</v>
      </c>
      <c r="O53" s="45" t="s">
        <v>81</v>
      </c>
      <c r="P53" s="46">
        <v>0</v>
      </c>
      <c r="Q53" s="54"/>
      <c r="R53" s="45"/>
      <c r="S53" s="48">
        <v>19977.36</v>
      </c>
      <c r="T53" s="48"/>
      <c r="U53" s="48">
        <v>12518.57</v>
      </c>
      <c r="V53" s="48">
        <f t="shared" si="9"/>
        <v>7458.7900000000009</v>
      </c>
      <c r="W53" s="50">
        <f t="shared" si="6"/>
        <v>12518.57</v>
      </c>
      <c r="X53" s="50"/>
      <c r="Y53" s="50">
        <f t="shared" si="1"/>
        <v>0</v>
      </c>
      <c r="Z53" s="50">
        <f t="shared" si="2"/>
        <v>12518.57</v>
      </c>
      <c r="AA53" s="51">
        <f t="shared" si="7"/>
        <v>0</v>
      </c>
      <c r="AB53" s="48">
        <f t="shared" si="8"/>
        <v>12518.57</v>
      </c>
      <c r="AC53" s="46">
        <v>8.3699999999999997E-2</v>
      </c>
      <c r="AD53" s="46"/>
      <c r="AE53" s="46"/>
      <c r="AF53" s="45"/>
      <c r="AG53" s="46">
        <v>0</v>
      </c>
    </row>
    <row r="54" spans="1:33" hidden="1" x14ac:dyDescent="0.25">
      <c r="A54" s="44" t="s">
        <v>70</v>
      </c>
      <c r="B54" s="45" t="s">
        <v>3</v>
      </c>
      <c r="C54" s="45" t="s">
        <v>95</v>
      </c>
      <c r="D54" s="45" t="s">
        <v>96</v>
      </c>
      <c r="E54" s="45" t="s">
        <v>191</v>
      </c>
      <c r="F54" s="45" t="s">
        <v>191</v>
      </c>
      <c r="G54" s="45" t="s">
        <v>191</v>
      </c>
      <c r="H54" s="45" t="s">
        <v>77</v>
      </c>
      <c r="I54" s="45" t="s">
        <v>78</v>
      </c>
      <c r="J54" s="45" t="s">
        <v>79</v>
      </c>
      <c r="K54" s="44" t="s">
        <v>3</v>
      </c>
      <c r="L54" s="53" t="s">
        <v>192</v>
      </c>
      <c r="M54" s="46"/>
      <c r="N54" s="44" t="s">
        <v>86</v>
      </c>
      <c r="O54" s="45" t="s">
        <v>81</v>
      </c>
      <c r="P54" s="46">
        <v>0</v>
      </c>
      <c r="Q54" s="54"/>
      <c r="R54" s="45"/>
      <c r="S54" s="48">
        <v>7101.61</v>
      </c>
      <c r="T54" s="48"/>
      <c r="U54" s="48">
        <v>722.19</v>
      </c>
      <c r="V54" s="48">
        <f t="shared" si="9"/>
        <v>6379.42</v>
      </c>
      <c r="W54" s="50">
        <f t="shared" si="6"/>
        <v>722.19</v>
      </c>
      <c r="X54" s="50"/>
      <c r="Y54" s="50">
        <f t="shared" si="1"/>
        <v>0</v>
      </c>
      <c r="Z54" s="50">
        <f t="shared" si="2"/>
        <v>722.19</v>
      </c>
      <c r="AA54" s="51">
        <f t="shared" si="7"/>
        <v>0</v>
      </c>
      <c r="AB54" s="48">
        <f t="shared" si="8"/>
        <v>722.19</v>
      </c>
      <c r="AC54" s="46">
        <v>8.3699999999999997E-2</v>
      </c>
      <c r="AD54" s="46"/>
      <c r="AE54" s="46"/>
      <c r="AF54" s="45"/>
      <c r="AG54" s="46">
        <v>0.11</v>
      </c>
    </row>
    <row r="55" spans="1:33" hidden="1" x14ac:dyDescent="0.25">
      <c r="A55" s="44" t="s">
        <v>70</v>
      </c>
      <c r="B55" s="45" t="s">
        <v>71</v>
      </c>
      <c r="C55" s="45" t="s">
        <v>193</v>
      </c>
      <c r="D55" s="45" t="s">
        <v>194</v>
      </c>
      <c r="E55" s="45" t="s">
        <v>195</v>
      </c>
      <c r="F55" s="45" t="s">
        <v>196</v>
      </c>
      <c r="G55" s="45" t="s">
        <v>76</v>
      </c>
      <c r="H55" s="45" t="s">
        <v>77</v>
      </c>
      <c r="I55" s="45" t="s">
        <v>78</v>
      </c>
      <c r="J55" s="45" t="s">
        <v>79</v>
      </c>
      <c r="K55" s="44" t="s">
        <v>3</v>
      </c>
      <c r="L55" s="53" t="s">
        <v>197</v>
      </c>
      <c r="M55" s="46"/>
      <c r="N55" s="44" t="s">
        <v>80</v>
      </c>
      <c r="O55" s="45" t="s">
        <v>81</v>
      </c>
      <c r="P55" s="46">
        <v>0</v>
      </c>
      <c r="Q55" s="54"/>
      <c r="R55" s="45"/>
      <c r="S55" s="48">
        <v>2956.69</v>
      </c>
      <c r="T55" s="48"/>
      <c r="U55" s="48">
        <v>0</v>
      </c>
      <c r="V55" s="48">
        <f t="shared" si="9"/>
        <v>2956.69</v>
      </c>
      <c r="W55" s="50">
        <f t="shared" si="6"/>
        <v>0</v>
      </c>
      <c r="X55" s="50"/>
      <c r="Y55" s="50">
        <f t="shared" si="1"/>
        <v>0</v>
      </c>
      <c r="Z55" s="50">
        <f t="shared" si="2"/>
        <v>0</v>
      </c>
      <c r="AA55" s="51">
        <f t="shared" si="7"/>
        <v>0</v>
      </c>
      <c r="AB55" s="48">
        <f t="shared" si="8"/>
        <v>0</v>
      </c>
      <c r="AC55" s="46">
        <v>8.3699999999999997E-2</v>
      </c>
      <c r="AD55" s="46"/>
      <c r="AE55" s="46"/>
      <c r="AF55" s="45"/>
      <c r="AG55" s="46">
        <v>0.42</v>
      </c>
    </row>
    <row r="56" spans="1:33" hidden="1" x14ac:dyDescent="0.25">
      <c r="A56" s="44" t="s">
        <v>70</v>
      </c>
      <c r="B56" s="45" t="s">
        <v>71</v>
      </c>
      <c r="C56" s="45" t="s">
        <v>95</v>
      </c>
      <c r="D56" s="45" t="s">
        <v>96</v>
      </c>
      <c r="E56" s="45" t="s">
        <v>198</v>
      </c>
      <c r="F56" s="45" t="s">
        <v>199</v>
      </c>
      <c r="G56" s="45" t="s">
        <v>76</v>
      </c>
      <c r="H56" s="45" t="s">
        <v>77</v>
      </c>
      <c r="I56" s="45" t="s">
        <v>78</v>
      </c>
      <c r="J56" s="45" t="s">
        <v>200</v>
      </c>
      <c r="K56" s="44" t="s">
        <v>3</v>
      </c>
      <c r="L56" s="45" t="s">
        <v>198</v>
      </c>
      <c r="M56" s="45"/>
      <c r="N56" s="45" t="s">
        <v>201</v>
      </c>
      <c r="O56" s="45" t="s">
        <v>81</v>
      </c>
      <c r="P56" s="57">
        <v>0</v>
      </c>
      <c r="Q56" s="47"/>
      <c r="R56" s="45"/>
      <c r="S56" s="48">
        <v>0</v>
      </c>
      <c r="T56" s="48">
        <v>256760</v>
      </c>
      <c r="U56" s="48">
        <v>256760</v>
      </c>
      <c r="V56" s="48">
        <v>0</v>
      </c>
      <c r="W56" s="50">
        <f>IF(O56="返货",U56/(1+P56),IF(O56="返现",U56,IF(O56="折扣",U56*P56,IF(O56="无",U56))))</f>
        <v>256760</v>
      </c>
      <c r="X56" s="50"/>
      <c r="Y56" s="50">
        <f t="shared" si="1"/>
        <v>0</v>
      </c>
      <c r="Z56" s="50">
        <f t="shared" si="2"/>
        <v>256760</v>
      </c>
      <c r="AA56" s="51">
        <f t="shared" si="7"/>
        <v>0</v>
      </c>
      <c r="AB56" s="48">
        <v>256760</v>
      </c>
      <c r="AC56" s="46">
        <v>8.3699999999999997E-2</v>
      </c>
      <c r="AD56" s="45"/>
      <c r="AE56" s="45"/>
      <c r="AF56" s="45"/>
      <c r="AG56" s="57">
        <v>0</v>
      </c>
    </row>
    <row r="57" spans="1:33" hidden="1" x14ac:dyDescent="0.25">
      <c r="A57" s="44" t="s">
        <v>70</v>
      </c>
      <c r="B57" s="45" t="s">
        <v>3</v>
      </c>
      <c r="C57" s="45" t="s">
        <v>82</v>
      </c>
      <c r="D57" s="45" t="s">
        <v>83</v>
      </c>
      <c r="E57" s="45" t="s">
        <v>88</v>
      </c>
      <c r="F57" s="45" t="s">
        <v>88</v>
      </c>
      <c r="G57" s="45" t="s">
        <v>88</v>
      </c>
      <c r="H57" s="45" t="s">
        <v>77</v>
      </c>
      <c r="I57" s="45" t="s">
        <v>78</v>
      </c>
      <c r="J57" s="45" t="s">
        <v>79</v>
      </c>
      <c r="K57" s="44" t="s">
        <v>3</v>
      </c>
      <c r="L57" s="45" t="s">
        <v>88</v>
      </c>
      <c r="M57" s="45"/>
      <c r="N57" s="45" t="s">
        <v>201</v>
      </c>
      <c r="O57" s="45" t="s">
        <v>81</v>
      </c>
      <c r="P57" s="57">
        <v>0</v>
      </c>
      <c r="Q57" s="47"/>
      <c r="R57" s="45" t="s">
        <v>89</v>
      </c>
      <c r="S57" s="48">
        <v>0</v>
      </c>
      <c r="T57" s="48">
        <v>9763320</v>
      </c>
      <c r="U57" s="48">
        <v>6671602</v>
      </c>
      <c r="V57" s="48">
        <v>0</v>
      </c>
      <c r="W57" s="50">
        <v>7839999.3600000003</v>
      </c>
      <c r="X57" s="50">
        <v>470399.96</v>
      </c>
      <c r="Y57" s="50">
        <f t="shared" si="1"/>
        <v>2958339.3600000003</v>
      </c>
      <c r="Z57" s="50">
        <f t="shared" si="2"/>
        <v>8310399.3200000003</v>
      </c>
      <c r="AA57" s="51">
        <f t="shared" si="7"/>
        <v>-1168397.3600000003</v>
      </c>
      <c r="AB57" s="48">
        <v>4881660</v>
      </c>
      <c r="AC57" s="46">
        <v>8.3699999999999997E-2</v>
      </c>
      <c r="AD57" s="45"/>
      <c r="AE57" s="45"/>
      <c r="AF57" s="45"/>
      <c r="AG57" s="57">
        <v>0</v>
      </c>
    </row>
    <row r="58" spans="1:33" hidden="1" x14ac:dyDescent="0.25">
      <c r="A58" s="44" t="s">
        <v>70</v>
      </c>
      <c r="B58" s="45" t="s">
        <v>3</v>
      </c>
      <c r="C58" s="45" t="s">
        <v>82</v>
      </c>
      <c r="D58" s="45" t="s">
        <v>83</v>
      </c>
      <c r="E58" s="45" t="s">
        <v>84</v>
      </c>
      <c r="F58" s="45" t="s">
        <v>84</v>
      </c>
      <c r="G58" s="45" t="s">
        <v>84</v>
      </c>
      <c r="H58" s="45" t="s">
        <v>202</v>
      </c>
      <c r="I58" s="45" t="s">
        <v>203</v>
      </c>
      <c r="J58" s="45" t="s">
        <v>204</v>
      </c>
      <c r="K58" s="44" t="s">
        <v>3</v>
      </c>
      <c r="L58" s="45" t="s">
        <v>84</v>
      </c>
      <c r="M58" s="45"/>
      <c r="N58" s="45" t="s">
        <v>86</v>
      </c>
      <c r="O58" s="45" t="s">
        <v>81</v>
      </c>
      <c r="P58" s="57">
        <v>0</v>
      </c>
      <c r="Q58" s="47"/>
      <c r="R58" s="45" t="s">
        <v>205</v>
      </c>
      <c r="S58" s="48">
        <v>0</v>
      </c>
      <c r="T58" s="48">
        <v>281.11</v>
      </c>
      <c r="U58" s="48">
        <v>281.11</v>
      </c>
      <c r="V58" s="48">
        <v>281.11</v>
      </c>
      <c r="W58" s="50">
        <v>0</v>
      </c>
      <c r="X58" s="50"/>
      <c r="Y58" s="50">
        <f t="shared" si="1"/>
        <v>0</v>
      </c>
      <c r="Z58" s="50">
        <f t="shared" si="2"/>
        <v>0</v>
      </c>
      <c r="AA58" s="51">
        <f>V58-W58</f>
        <v>281.11</v>
      </c>
      <c r="AB58" s="48">
        <v>281.11</v>
      </c>
      <c r="AC58" s="57">
        <v>0</v>
      </c>
      <c r="AD58" s="45"/>
      <c r="AE58" s="45"/>
      <c r="AF58" s="45"/>
      <c r="AG58" s="57">
        <v>0</v>
      </c>
    </row>
    <row r="59" spans="1:33" hidden="1" x14ac:dyDescent="0.25">
      <c r="A59" s="44" t="s">
        <v>70</v>
      </c>
      <c r="B59" s="45" t="s">
        <v>3</v>
      </c>
      <c r="C59" s="45" t="s">
        <v>82</v>
      </c>
      <c r="D59" s="45" t="s">
        <v>83</v>
      </c>
      <c r="E59" s="45" t="s">
        <v>88</v>
      </c>
      <c r="F59" s="45" t="s">
        <v>88</v>
      </c>
      <c r="G59" s="45" t="s">
        <v>88</v>
      </c>
      <c r="H59" s="45" t="s">
        <v>202</v>
      </c>
      <c r="I59" s="45" t="s">
        <v>203</v>
      </c>
      <c r="J59" s="45" t="s">
        <v>204</v>
      </c>
      <c r="K59" s="44" t="s">
        <v>3</v>
      </c>
      <c r="L59" s="45" t="s">
        <v>88</v>
      </c>
      <c r="M59" s="45"/>
      <c r="N59" s="45" t="s">
        <v>86</v>
      </c>
      <c r="O59" s="45" t="s">
        <v>81</v>
      </c>
      <c r="P59" s="57">
        <v>0</v>
      </c>
      <c r="Q59" s="47"/>
      <c r="R59" s="45" t="s">
        <v>205</v>
      </c>
      <c r="S59" s="48">
        <v>0</v>
      </c>
      <c r="T59" s="48">
        <v>292371.32</v>
      </c>
      <c r="U59" s="48">
        <v>292371.32</v>
      </c>
      <c r="V59" s="48">
        <v>292371.32</v>
      </c>
      <c r="W59" s="50">
        <v>0</v>
      </c>
      <c r="X59" s="50"/>
      <c r="Y59" s="50">
        <f t="shared" si="1"/>
        <v>0</v>
      </c>
      <c r="Z59" s="50">
        <f t="shared" si="2"/>
        <v>0</v>
      </c>
      <c r="AA59" s="51">
        <v>0</v>
      </c>
      <c r="AB59" s="48">
        <v>292371.32</v>
      </c>
      <c r="AC59" s="57">
        <v>0</v>
      </c>
      <c r="AD59" s="45"/>
      <c r="AE59" s="45"/>
      <c r="AF59" s="45"/>
      <c r="AG59" s="57">
        <v>0</v>
      </c>
    </row>
    <row r="60" spans="1:33" hidden="1" x14ac:dyDescent="0.25">
      <c r="A60" s="44" t="s">
        <v>70</v>
      </c>
      <c r="B60" s="45" t="s">
        <v>3</v>
      </c>
      <c r="C60" s="45" t="s">
        <v>82</v>
      </c>
      <c r="D60" s="45" t="s">
        <v>83</v>
      </c>
      <c r="E60" s="45" t="s">
        <v>88</v>
      </c>
      <c r="F60" s="45" t="s">
        <v>88</v>
      </c>
      <c r="G60" s="45" t="s">
        <v>88</v>
      </c>
      <c r="H60" s="45" t="s">
        <v>206</v>
      </c>
      <c r="I60" s="45" t="s">
        <v>203</v>
      </c>
      <c r="J60" s="45" t="s">
        <v>207</v>
      </c>
      <c r="K60" s="44" t="s">
        <v>3</v>
      </c>
      <c r="L60" s="45" t="s">
        <v>88</v>
      </c>
      <c r="M60" s="45"/>
      <c r="N60" s="45" t="s">
        <v>86</v>
      </c>
      <c r="O60" s="45" t="s">
        <v>81</v>
      </c>
      <c r="P60" s="58">
        <v>0</v>
      </c>
      <c r="Q60" s="47"/>
      <c r="R60" s="45" t="s">
        <v>205</v>
      </c>
      <c r="S60" s="48">
        <v>0</v>
      </c>
      <c r="T60" s="59">
        <v>81000</v>
      </c>
      <c r="U60" s="59">
        <v>0</v>
      </c>
      <c r="V60" s="59">
        <f>S60+T60-U60</f>
        <v>81000</v>
      </c>
      <c r="W60" s="55">
        <f>IF(O60="返货",U60/(1+P60),IF(O60="返现",U60,IF(O60="折扣",U60*P60,IF(O60="无",U60))))</f>
        <v>0</v>
      </c>
      <c r="X60" s="55"/>
      <c r="Y60" s="50">
        <f t="shared" si="1"/>
        <v>0</v>
      </c>
      <c r="Z60" s="50">
        <f t="shared" si="2"/>
        <v>0</v>
      </c>
      <c r="AA60" s="59">
        <f>U60-W60</f>
        <v>0</v>
      </c>
      <c r="AB60" s="59">
        <v>81000</v>
      </c>
      <c r="AC60" s="58">
        <v>0</v>
      </c>
      <c r="AD60" s="45"/>
      <c r="AE60" s="45"/>
      <c r="AF60" s="45"/>
      <c r="AG60" s="58">
        <v>0</v>
      </c>
    </row>
    <row r="61" spans="1:33" hidden="1" x14ac:dyDescent="0.25">
      <c r="A61" s="44" t="s">
        <v>70</v>
      </c>
      <c r="B61" s="45" t="s">
        <v>3</v>
      </c>
      <c r="C61" s="45" t="s">
        <v>82</v>
      </c>
      <c r="D61" s="45" t="s">
        <v>208</v>
      </c>
      <c r="E61" s="45" t="s">
        <v>209</v>
      </c>
      <c r="F61" s="45" t="s">
        <v>209</v>
      </c>
      <c r="G61" s="45" t="s">
        <v>209</v>
      </c>
      <c r="H61" s="45" t="s">
        <v>210</v>
      </c>
      <c r="I61" s="45" t="s">
        <v>203</v>
      </c>
      <c r="J61" s="45" t="s">
        <v>211</v>
      </c>
      <c r="K61" s="44" t="s">
        <v>3</v>
      </c>
      <c r="L61" s="45" t="s">
        <v>209</v>
      </c>
      <c r="M61" s="45"/>
      <c r="N61" s="45" t="s">
        <v>212</v>
      </c>
      <c r="O61" s="45" t="s">
        <v>81</v>
      </c>
      <c r="P61" s="58">
        <v>0</v>
      </c>
      <c r="Q61" s="47"/>
      <c r="R61" s="45" t="s">
        <v>213</v>
      </c>
      <c r="S61" s="48">
        <v>0</v>
      </c>
      <c r="T61" s="59">
        <v>10180650</v>
      </c>
      <c r="U61" s="59">
        <v>9929405.9600000009</v>
      </c>
      <c r="V61" s="59">
        <v>251244.03999999899</v>
      </c>
      <c r="W61" s="50">
        <v>9929405.9600000009</v>
      </c>
      <c r="X61" s="50"/>
      <c r="Y61" s="50">
        <f t="shared" si="1"/>
        <v>0</v>
      </c>
      <c r="Z61" s="50">
        <f t="shared" si="2"/>
        <v>9929405.9600000009</v>
      </c>
      <c r="AA61" s="51">
        <v>0</v>
      </c>
      <c r="AB61" s="59">
        <v>10180650</v>
      </c>
      <c r="AC61" s="58">
        <v>0</v>
      </c>
      <c r="AD61" s="45"/>
      <c r="AE61" s="45"/>
      <c r="AF61" s="45"/>
      <c r="AG61" s="58">
        <v>0</v>
      </c>
    </row>
    <row r="62" spans="1:33" hidden="1" x14ac:dyDescent="0.25">
      <c r="A62" s="44" t="s">
        <v>70</v>
      </c>
      <c r="B62" s="45" t="s">
        <v>3</v>
      </c>
      <c r="C62" s="45" t="s">
        <v>82</v>
      </c>
      <c r="D62" s="45" t="s">
        <v>208</v>
      </c>
      <c r="E62" s="45" t="s">
        <v>214</v>
      </c>
      <c r="F62" s="45" t="s">
        <v>214</v>
      </c>
      <c r="G62" s="45" t="s">
        <v>214</v>
      </c>
      <c r="H62" s="45" t="s">
        <v>210</v>
      </c>
      <c r="I62" s="45" t="s">
        <v>203</v>
      </c>
      <c r="J62" s="45" t="s">
        <v>211</v>
      </c>
      <c r="K62" s="44" t="s">
        <v>3</v>
      </c>
      <c r="L62" s="45" t="s">
        <v>214</v>
      </c>
      <c r="M62" s="45"/>
      <c r="N62" s="45" t="s">
        <v>212</v>
      </c>
      <c r="O62" s="45" t="s">
        <v>81</v>
      </c>
      <c r="P62" s="58">
        <v>0</v>
      </c>
      <c r="Q62" s="47"/>
      <c r="R62" s="45" t="s">
        <v>213</v>
      </c>
      <c r="S62" s="48">
        <v>0</v>
      </c>
      <c r="T62" s="59">
        <v>3210000</v>
      </c>
      <c r="U62" s="59">
        <v>3177900</v>
      </c>
      <c r="V62" s="59">
        <v>32100</v>
      </c>
      <c r="W62" s="50">
        <v>3177900</v>
      </c>
      <c r="X62" s="50"/>
      <c r="Y62" s="50">
        <f t="shared" si="1"/>
        <v>0</v>
      </c>
      <c r="Z62" s="50">
        <f t="shared" si="2"/>
        <v>3177900</v>
      </c>
      <c r="AA62" s="51">
        <v>0</v>
      </c>
      <c r="AB62" s="59">
        <v>3210000</v>
      </c>
      <c r="AC62" s="58">
        <v>0</v>
      </c>
      <c r="AD62" s="45"/>
      <c r="AE62" s="45"/>
      <c r="AF62" s="45"/>
      <c r="AG62" s="58">
        <v>0</v>
      </c>
    </row>
    <row r="63" spans="1:33" hidden="1" x14ac:dyDescent="0.25">
      <c r="A63" s="44" t="s">
        <v>70</v>
      </c>
      <c r="B63" s="45" t="s">
        <v>3</v>
      </c>
      <c r="C63" s="45" t="s">
        <v>82</v>
      </c>
      <c r="D63" s="45" t="s">
        <v>208</v>
      </c>
      <c r="E63" s="45" t="s">
        <v>215</v>
      </c>
      <c r="F63" s="45" t="s">
        <v>215</v>
      </c>
      <c r="G63" s="45" t="s">
        <v>215</v>
      </c>
      <c r="H63" s="45" t="s">
        <v>210</v>
      </c>
      <c r="I63" s="45" t="s">
        <v>203</v>
      </c>
      <c r="J63" s="45" t="s">
        <v>211</v>
      </c>
      <c r="K63" s="44" t="s">
        <v>3</v>
      </c>
      <c r="L63" s="45" t="s">
        <v>215</v>
      </c>
      <c r="M63" s="45"/>
      <c r="N63" s="45" t="s">
        <v>80</v>
      </c>
      <c r="O63" s="45" t="s">
        <v>81</v>
      </c>
      <c r="P63" s="58">
        <v>0</v>
      </c>
      <c r="Q63" s="47"/>
      <c r="R63" s="45" t="s">
        <v>213</v>
      </c>
      <c r="S63" s="48">
        <v>0</v>
      </c>
      <c r="T63" s="59">
        <v>18994500</v>
      </c>
      <c r="U63" s="59">
        <v>18711000</v>
      </c>
      <c r="V63" s="59">
        <v>283500</v>
      </c>
      <c r="W63" s="50">
        <v>18711000</v>
      </c>
      <c r="X63" s="50"/>
      <c r="Y63" s="50">
        <f t="shared" si="1"/>
        <v>0</v>
      </c>
      <c r="Z63" s="50">
        <f t="shared" si="2"/>
        <v>18711000</v>
      </c>
      <c r="AA63" s="51">
        <v>0</v>
      </c>
      <c r="AB63" s="59">
        <v>18994500</v>
      </c>
      <c r="AC63" s="58">
        <v>0</v>
      </c>
      <c r="AD63" s="45"/>
      <c r="AE63" s="45"/>
      <c r="AF63" s="45"/>
      <c r="AG63" s="58">
        <v>0</v>
      </c>
    </row>
    <row r="64" spans="1:33" hidden="1" x14ac:dyDescent="0.25">
      <c r="A64" s="44" t="s">
        <v>70</v>
      </c>
      <c r="B64" s="60" t="s">
        <v>3</v>
      </c>
      <c r="C64" s="60" t="s">
        <v>72</v>
      </c>
      <c r="D64" s="60" t="s">
        <v>216</v>
      </c>
      <c r="E64" s="60" t="s">
        <v>217</v>
      </c>
      <c r="F64" s="60" t="s">
        <v>218</v>
      </c>
      <c r="G64" s="60" t="s">
        <v>217</v>
      </c>
      <c r="H64" s="60" t="s">
        <v>219</v>
      </c>
      <c r="I64" s="45" t="s">
        <v>203</v>
      </c>
      <c r="J64" s="45" t="s">
        <v>220</v>
      </c>
      <c r="K64" s="44" t="s">
        <v>3</v>
      </c>
      <c r="L64" s="60" t="s">
        <v>221</v>
      </c>
      <c r="M64" s="61"/>
      <c r="N64" s="60" t="s">
        <v>80</v>
      </c>
      <c r="O64" s="60" t="s">
        <v>81</v>
      </c>
      <c r="P64" s="61">
        <v>0</v>
      </c>
      <c r="Q64" s="62">
        <v>6554</v>
      </c>
      <c r="R64" s="63"/>
      <c r="S64" s="48"/>
      <c r="T64" s="64"/>
      <c r="U64" s="65">
        <v>6789.9019607843102</v>
      </c>
      <c r="V64" s="65">
        <v>0</v>
      </c>
      <c r="W64" s="65">
        <v>6789.9019607843102</v>
      </c>
      <c r="X64" s="60"/>
      <c r="Y64" s="50">
        <f t="shared" si="1"/>
        <v>0</v>
      </c>
      <c r="Z64" s="50">
        <f t="shared" si="2"/>
        <v>6789.9019607843102</v>
      </c>
      <c r="AA64" s="65"/>
      <c r="AB64" s="65">
        <v>6789.9019607843102</v>
      </c>
      <c r="AC64" s="66">
        <v>0</v>
      </c>
      <c r="AD64" s="60"/>
      <c r="AE64" s="60"/>
      <c r="AF64" s="64" t="s">
        <v>222</v>
      </c>
      <c r="AG64" s="60"/>
    </row>
    <row r="65" spans="1:33" hidden="1" x14ac:dyDescent="0.25">
      <c r="A65" s="44" t="s">
        <v>70</v>
      </c>
      <c r="B65" s="60" t="s">
        <v>3</v>
      </c>
      <c r="C65" s="60" t="s">
        <v>72</v>
      </c>
      <c r="D65" s="60" t="s">
        <v>216</v>
      </c>
      <c r="E65" s="60" t="s">
        <v>217</v>
      </c>
      <c r="F65" s="60" t="s">
        <v>218</v>
      </c>
      <c r="G65" s="60" t="s">
        <v>217</v>
      </c>
      <c r="H65" s="60" t="s">
        <v>219</v>
      </c>
      <c r="I65" s="45" t="s">
        <v>203</v>
      </c>
      <c r="J65" s="45" t="s">
        <v>220</v>
      </c>
      <c r="K65" s="44" t="s">
        <v>3</v>
      </c>
      <c r="L65" s="60" t="s">
        <v>221</v>
      </c>
      <c r="M65" s="61"/>
      <c r="N65" s="60" t="s">
        <v>80</v>
      </c>
      <c r="O65" s="60" t="s">
        <v>81</v>
      </c>
      <c r="P65" s="61">
        <v>0</v>
      </c>
      <c r="Q65" s="62">
        <v>6554</v>
      </c>
      <c r="R65" s="63"/>
      <c r="S65" s="48"/>
      <c r="T65" s="64"/>
      <c r="U65" s="65">
        <v>-6925.7</v>
      </c>
      <c r="V65" s="65">
        <v>0</v>
      </c>
      <c r="W65" s="65">
        <v>-6925.7</v>
      </c>
      <c r="X65" s="60"/>
      <c r="Y65" s="50">
        <f t="shared" si="1"/>
        <v>0</v>
      </c>
      <c r="Z65" s="50">
        <f t="shared" si="2"/>
        <v>-6925.7</v>
      </c>
      <c r="AA65" s="65"/>
      <c r="AB65" s="65">
        <v>-6925.7</v>
      </c>
      <c r="AC65" s="66">
        <v>0</v>
      </c>
      <c r="AD65" s="60"/>
      <c r="AE65" s="60"/>
      <c r="AF65" s="64" t="s">
        <v>222</v>
      </c>
      <c r="AG65" s="60">
        <v>0</v>
      </c>
    </row>
    <row r="66" spans="1:33" hidden="1" x14ac:dyDescent="0.25">
      <c r="A66" s="44" t="s">
        <v>70</v>
      </c>
      <c r="B66" s="60" t="s">
        <v>3</v>
      </c>
      <c r="C66" s="60" t="s">
        <v>72</v>
      </c>
      <c r="D66" s="60" t="s">
        <v>216</v>
      </c>
      <c r="E66" s="60" t="s">
        <v>217</v>
      </c>
      <c r="F66" s="60" t="s">
        <v>218</v>
      </c>
      <c r="G66" s="60" t="s">
        <v>217</v>
      </c>
      <c r="H66" s="60" t="s">
        <v>223</v>
      </c>
      <c r="I66" s="45" t="s">
        <v>203</v>
      </c>
      <c r="J66" s="45" t="s">
        <v>224</v>
      </c>
      <c r="K66" s="44" t="s">
        <v>3</v>
      </c>
      <c r="L66" s="60" t="s">
        <v>225</v>
      </c>
      <c r="M66" s="67"/>
      <c r="N66" s="60" t="s">
        <v>80</v>
      </c>
      <c r="O66" s="60" t="s">
        <v>81</v>
      </c>
      <c r="P66" s="61">
        <v>0</v>
      </c>
      <c r="Q66" s="68" t="s">
        <v>226</v>
      </c>
      <c r="R66" s="63"/>
      <c r="S66" s="48"/>
      <c r="T66" s="64"/>
      <c r="U66" s="65">
        <v>247.43269230769201</v>
      </c>
      <c r="V66" s="65">
        <v>0</v>
      </c>
      <c r="W66" s="65">
        <v>247.43269230769201</v>
      </c>
      <c r="X66" s="60"/>
      <c r="Y66" s="50">
        <f t="shared" ref="Y66:Y129" si="10">IF(W66-AB66&lt;0,0,IF(O66="返现",MAX(W66-AA66-AB66,0),MAX(W66-AB66,0)))</f>
        <v>0</v>
      </c>
      <c r="Z66" s="50">
        <f t="shared" ref="Z66:Z129" si="11">W66+X66+AN66</f>
        <v>247.43269230769201</v>
      </c>
      <c r="AA66" s="65"/>
      <c r="AB66" s="65">
        <v>247.43269230769201</v>
      </c>
      <c r="AC66" s="66">
        <v>0</v>
      </c>
      <c r="AD66" s="60"/>
      <c r="AE66" s="60"/>
      <c r="AF66" s="64" t="s">
        <v>222</v>
      </c>
      <c r="AG66" s="60">
        <v>0</v>
      </c>
    </row>
    <row r="67" spans="1:33" hidden="1" x14ac:dyDescent="0.25">
      <c r="A67" s="44" t="s">
        <v>70</v>
      </c>
      <c r="B67" s="69" t="s">
        <v>7</v>
      </c>
      <c r="C67" s="69" t="s">
        <v>90</v>
      </c>
      <c r="D67" s="69" t="s">
        <v>114</v>
      </c>
      <c r="E67" s="69" t="s">
        <v>227</v>
      </c>
      <c r="F67" s="69" t="s">
        <v>228</v>
      </c>
      <c r="G67" s="69" t="s">
        <v>227</v>
      </c>
      <c r="H67" s="69" t="s">
        <v>229</v>
      </c>
      <c r="I67" s="45" t="s">
        <v>203</v>
      </c>
      <c r="J67" s="45" t="s">
        <v>230</v>
      </c>
      <c r="K67" s="44" t="s">
        <v>7</v>
      </c>
      <c r="L67" s="66" t="s">
        <v>231</v>
      </c>
      <c r="M67" s="69" t="s">
        <v>232</v>
      </c>
      <c r="N67" s="69" t="s">
        <v>80</v>
      </c>
      <c r="O67" s="60" t="s">
        <v>81</v>
      </c>
      <c r="P67" s="61">
        <v>0</v>
      </c>
      <c r="Q67" s="70">
        <v>600000829</v>
      </c>
      <c r="R67" s="69"/>
      <c r="S67" s="48"/>
      <c r="T67" s="71"/>
      <c r="U67" s="65">
        <v>700000</v>
      </c>
      <c r="V67" s="71">
        <v>0</v>
      </c>
      <c r="W67" s="65">
        <v>700000</v>
      </c>
      <c r="X67" s="65"/>
      <c r="Y67" s="50">
        <f t="shared" si="10"/>
        <v>0</v>
      </c>
      <c r="Z67" s="50">
        <f t="shared" si="11"/>
        <v>700000</v>
      </c>
      <c r="AA67" s="72"/>
      <c r="AB67" s="65">
        <v>700000</v>
      </c>
      <c r="AC67" s="66">
        <v>0</v>
      </c>
      <c r="AD67" s="69"/>
      <c r="AE67" s="69"/>
      <c r="AF67" s="64" t="s">
        <v>222</v>
      </c>
      <c r="AG67" s="66">
        <v>0</v>
      </c>
    </row>
    <row r="68" spans="1:33" hidden="1" x14ac:dyDescent="0.25">
      <c r="A68" s="44" t="s">
        <v>70</v>
      </c>
      <c r="B68" s="69" t="s">
        <v>7</v>
      </c>
      <c r="C68" s="69" t="s">
        <v>90</v>
      </c>
      <c r="D68" s="69" t="s">
        <v>114</v>
      </c>
      <c r="E68" s="69" t="s">
        <v>210</v>
      </c>
      <c r="F68" s="69" t="s">
        <v>210</v>
      </c>
      <c r="G68" s="69" t="s">
        <v>210</v>
      </c>
      <c r="H68" s="69" t="s">
        <v>229</v>
      </c>
      <c r="I68" s="45" t="s">
        <v>203</v>
      </c>
      <c r="J68" s="45" t="s">
        <v>230</v>
      </c>
      <c r="K68" s="44" t="s">
        <v>7</v>
      </c>
      <c r="L68" s="66" t="s">
        <v>231</v>
      </c>
      <c r="M68" s="69" t="s">
        <v>232</v>
      </c>
      <c r="N68" s="69" t="s">
        <v>80</v>
      </c>
      <c r="O68" s="60" t="s">
        <v>81</v>
      </c>
      <c r="P68" s="61">
        <v>0</v>
      </c>
      <c r="Q68" s="70">
        <v>600000829</v>
      </c>
      <c r="R68" s="69"/>
      <c r="S68" s="48"/>
      <c r="T68" s="71"/>
      <c r="U68" s="65">
        <v>3139374.4436599999</v>
      </c>
      <c r="V68" s="71">
        <v>0</v>
      </c>
      <c r="W68" s="65">
        <v>3139374.4436599999</v>
      </c>
      <c r="X68" s="65"/>
      <c r="Y68" s="50">
        <f t="shared" si="10"/>
        <v>0</v>
      </c>
      <c r="Z68" s="50">
        <f t="shared" si="11"/>
        <v>3139374.4436599999</v>
      </c>
      <c r="AA68" s="72"/>
      <c r="AB68" s="65">
        <v>3139374.4436599999</v>
      </c>
      <c r="AC68" s="66">
        <v>0</v>
      </c>
      <c r="AD68" s="69"/>
      <c r="AE68" s="69"/>
      <c r="AF68" s="64" t="s">
        <v>222</v>
      </c>
      <c r="AG68" s="66">
        <v>0</v>
      </c>
    </row>
    <row r="69" spans="1:33" hidden="1" x14ac:dyDescent="0.25">
      <c r="A69" s="44" t="s">
        <v>70</v>
      </c>
      <c r="B69" s="69" t="s">
        <v>7</v>
      </c>
      <c r="C69" s="69" t="s">
        <v>90</v>
      </c>
      <c r="D69" s="69" t="s">
        <v>114</v>
      </c>
      <c r="E69" s="69" t="s">
        <v>233</v>
      </c>
      <c r="F69" s="69" t="s">
        <v>233</v>
      </c>
      <c r="G69" s="69" t="s">
        <v>233</v>
      </c>
      <c r="H69" s="69" t="s">
        <v>229</v>
      </c>
      <c r="I69" s="45" t="s">
        <v>203</v>
      </c>
      <c r="J69" s="45" t="s">
        <v>230</v>
      </c>
      <c r="K69" s="44" t="s">
        <v>7</v>
      </c>
      <c r="L69" s="66" t="s">
        <v>227</v>
      </c>
      <c r="M69" s="69" t="s">
        <v>232</v>
      </c>
      <c r="N69" s="69" t="s">
        <v>80</v>
      </c>
      <c r="O69" s="60" t="s">
        <v>81</v>
      </c>
      <c r="P69" s="61">
        <v>0</v>
      </c>
      <c r="Q69" s="70">
        <v>600000916</v>
      </c>
      <c r="R69" s="69"/>
      <c r="S69" s="48"/>
      <c r="T69" s="71"/>
      <c r="U69" s="65">
        <v>1511691.35</v>
      </c>
      <c r="V69" s="71">
        <v>0</v>
      </c>
      <c r="W69" s="65">
        <v>1511691.35</v>
      </c>
      <c r="X69" s="65"/>
      <c r="Y69" s="50">
        <f t="shared" si="10"/>
        <v>0</v>
      </c>
      <c r="Z69" s="50">
        <f t="shared" si="11"/>
        <v>1511691.35</v>
      </c>
      <c r="AA69" s="72"/>
      <c r="AB69" s="65">
        <v>1511691.35</v>
      </c>
      <c r="AC69" s="66">
        <v>0</v>
      </c>
      <c r="AD69" s="69"/>
      <c r="AE69" s="69"/>
      <c r="AF69" s="64" t="s">
        <v>222</v>
      </c>
      <c r="AG69" s="66">
        <v>0</v>
      </c>
    </row>
    <row r="70" spans="1:33" hidden="1" x14ac:dyDescent="0.25">
      <c r="A70" s="44" t="s">
        <v>70</v>
      </c>
      <c r="B70" s="69" t="s">
        <v>3</v>
      </c>
      <c r="C70" s="69" t="s">
        <v>82</v>
      </c>
      <c r="D70" s="69" t="s">
        <v>83</v>
      </c>
      <c r="E70" s="69" t="s">
        <v>88</v>
      </c>
      <c r="F70" s="69" t="s">
        <v>88</v>
      </c>
      <c r="G70" s="69" t="s">
        <v>88</v>
      </c>
      <c r="H70" s="69" t="s">
        <v>234</v>
      </c>
      <c r="I70" s="45" t="s">
        <v>203</v>
      </c>
      <c r="J70" s="45" t="s">
        <v>235</v>
      </c>
      <c r="K70" s="44" t="s">
        <v>3</v>
      </c>
      <c r="L70" s="69" t="s">
        <v>88</v>
      </c>
      <c r="M70" s="69"/>
      <c r="N70" s="69" t="s">
        <v>86</v>
      </c>
      <c r="O70" s="60" t="s">
        <v>81</v>
      </c>
      <c r="P70" s="61">
        <v>0</v>
      </c>
      <c r="Q70" s="73"/>
      <c r="R70" s="69" t="s">
        <v>89</v>
      </c>
      <c r="S70" s="48"/>
      <c r="T70" s="71"/>
      <c r="U70" s="64">
        <v>147092.698113208</v>
      </c>
      <c r="V70" s="71">
        <v>0</v>
      </c>
      <c r="W70" s="64">
        <v>147092.698113208</v>
      </c>
      <c r="X70" s="64">
        <v>9216</v>
      </c>
      <c r="Y70" s="50">
        <f t="shared" si="10"/>
        <v>0</v>
      </c>
      <c r="Z70" s="50">
        <f t="shared" si="11"/>
        <v>156308.698113208</v>
      </c>
      <c r="AA70" s="71"/>
      <c r="AB70" s="64">
        <v>147092.698113208</v>
      </c>
      <c r="AC70" s="66">
        <v>0</v>
      </c>
      <c r="AD70" s="69"/>
      <c r="AE70" s="69"/>
      <c r="AF70" s="64" t="s">
        <v>222</v>
      </c>
      <c r="AG70" s="66">
        <v>0.1</v>
      </c>
    </row>
    <row r="71" spans="1:33" hidden="1" x14ac:dyDescent="0.25">
      <c r="A71" s="44" t="s">
        <v>236</v>
      </c>
      <c r="B71" s="74" t="s">
        <v>3</v>
      </c>
      <c r="C71" s="74" t="s">
        <v>82</v>
      </c>
      <c r="D71" s="74" t="s">
        <v>83</v>
      </c>
      <c r="E71" s="74" t="s">
        <v>84</v>
      </c>
      <c r="F71" s="74" t="s">
        <v>84</v>
      </c>
      <c r="G71" s="74" t="s">
        <v>84</v>
      </c>
      <c r="H71" s="74" t="s">
        <v>77</v>
      </c>
      <c r="I71" s="45" t="s">
        <v>78</v>
      </c>
      <c r="J71" s="74" t="s">
        <v>79</v>
      </c>
      <c r="K71" s="44" t="s">
        <v>3</v>
      </c>
      <c r="L71" s="74" t="s">
        <v>85</v>
      </c>
      <c r="M71" s="74"/>
      <c r="N71" s="74" t="s">
        <v>86</v>
      </c>
      <c r="O71" s="74" t="s">
        <v>81</v>
      </c>
      <c r="P71" s="57">
        <v>0</v>
      </c>
      <c r="Q71" s="75"/>
      <c r="R71" s="74"/>
      <c r="S71" s="48">
        <v>254831.51</v>
      </c>
      <c r="T71" s="48">
        <v>-244831.51</v>
      </c>
      <c r="U71" s="48">
        <v>0</v>
      </c>
      <c r="V71" s="48">
        <f t="shared" ref="V71:V121" si="12">S71+T71-U71</f>
        <v>10000</v>
      </c>
      <c r="W71" s="50">
        <f>U71*(1+AG71)/(1+AG71+P71)</f>
        <v>0</v>
      </c>
      <c r="X71" s="48"/>
      <c r="Y71" s="50">
        <f t="shared" si="10"/>
        <v>0</v>
      </c>
      <c r="Z71" s="50">
        <f t="shared" si="11"/>
        <v>0</v>
      </c>
      <c r="AA71" s="48">
        <f>U71-W71</f>
        <v>0</v>
      </c>
      <c r="AB71" s="48">
        <f>U71</f>
        <v>0</v>
      </c>
      <c r="AC71" s="46">
        <v>8.3699999999999997E-2</v>
      </c>
      <c r="AD71" s="74"/>
      <c r="AE71" s="74"/>
      <c r="AF71" s="74"/>
      <c r="AG71" s="57">
        <v>0</v>
      </c>
    </row>
    <row r="72" spans="1:33" hidden="1" x14ac:dyDescent="0.25">
      <c r="A72" s="44" t="s">
        <v>236</v>
      </c>
      <c r="B72" s="74" t="s">
        <v>3</v>
      </c>
      <c r="C72" s="74" t="s">
        <v>82</v>
      </c>
      <c r="D72" s="74" t="s">
        <v>83</v>
      </c>
      <c r="E72" s="74" t="s">
        <v>84</v>
      </c>
      <c r="F72" s="74" t="s">
        <v>237</v>
      </c>
      <c r="G72" s="74" t="s">
        <v>84</v>
      </c>
      <c r="H72" s="74" t="s">
        <v>77</v>
      </c>
      <c r="I72" s="45" t="s">
        <v>78</v>
      </c>
      <c r="J72" s="74" t="s">
        <v>79</v>
      </c>
      <c r="K72" s="44" t="s">
        <v>3</v>
      </c>
      <c r="L72" s="74" t="s">
        <v>88</v>
      </c>
      <c r="M72" s="74"/>
      <c r="N72" s="74" t="s">
        <v>86</v>
      </c>
      <c r="O72" s="74" t="s">
        <v>87</v>
      </c>
      <c r="P72" s="57">
        <v>0.02</v>
      </c>
      <c r="Q72" s="75"/>
      <c r="R72" s="74"/>
      <c r="S72" s="48">
        <v>0</v>
      </c>
      <c r="T72" s="48">
        <v>122316</v>
      </c>
      <c r="U72" s="48">
        <v>76353.789999999994</v>
      </c>
      <c r="V72" s="48">
        <f t="shared" si="12"/>
        <v>45962.210000000006</v>
      </c>
      <c r="W72" s="50">
        <v>444788</v>
      </c>
      <c r="X72" s="48"/>
      <c r="Y72" s="50">
        <f t="shared" si="10"/>
        <v>362020.34</v>
      </c>
      <c r="Z72" s="50">
        <f t="shared" si="11"/>
        <v>444788</v>
      </c>
      <c r="AA72" s="48">
        <v>8636.66</v>
      </c>
      <c r="AB72" s="48">
        <v>74131</v>
      </c>
      <c r="AC72" s="46">
        <v>8.3699999999999997E-2</v>
      </c>
      <c r="AD72" s="74"/>
      <c r="AE72" s="74"/>
      <c r="AF72" s="74"/>
      <c r="AG72" s="57">
        <v>0.32</v>
      </c>
    </row>
    <row r="73" spans="1:33" hidden="1" x14ac:dyDescent="0.25">
      <c r="A73" s="44" t="s">
        <v>236</v>
      </c>
      <c r="B73" s="74" t="s">
        <v>3</v>
      </c>
      <c r="C73" s="74" t="s">
        <v>82</v>
      </c>
      <c r="D73" s="74" t="s">
        <v>83</v>
      </c>
      <c r="E73" s="74" t="s">
        <v>88</v>
      </c>
      <c r="F73" s="74" t="s">
        <v>88</v>
      </c>
      <c r="G73" s="74" t="s">
        <v>88</v>
      </c>
      <c r="H73" s="74" t="s">
        <v>77</v>
      </c>
      <c r="I73" s="45" t="s">
        <v>78</v>
      </c>
      <c r="J73" s="74" t="s">
        <v>79</v>
      </c>
      <c r="K73" s="44" t="s">
        <v>3</v>
      </c>
      <c r="L73" s="74" t="s">
        <v>88</v>
      </c>
      <c r="M73" s="74"/>
      <c r="N73" s="74" t="s">
        <v>86</v>
      </c>
      <c r="O73" s="74" t="s">
        <v>94</v>
      </c>
      <c r="P73" s="57">
        <v>0.01</v>
      </c>
      <c r="Q73" s="75"/>
      <c r="R73" s="74"/>
      <c r="S73" s="48">
        <v>0</v>
      </c>
      <c r="T73" s="48">
        <v>822181.82</v>
      </c>
      <c r="U73" s="49">
        <v>74575.860000001005</v>
      </c>
      <c r="V73" s="48">
        <f t="shared" si="12"/>
        <v>747605.95999999892</v>
      </c>
      <c r="W73" s="50">
        <f t="shared" ref="W73:W104" si="13">U73*(1+AG73)/(1+AG73+P73)</f>
        <v>74015.139248121297</v>
      </c>
      <c r="X73" s="48"/>
      <c r="Y73" s="50">
        <f t="shared" si="10"/>
        <v>0</v>
      </c>
      <c r="Z73" s="50">
        <f t="shared" si="11"/>
        <v>74015.139248121297</v>
      </c>
      <c r="AA73" s="48">
        <f t="shared" ref="AA73:AA104" si="14">U73-W73</f>
        <v>560.72075187970768</v>
      </c>
      <c r="AB73" s="48">
        <f t="shared" ref="AB73:AB104" si="15">U73</f>
        <v>74575.860000001005</v>
      </c>
      <c r="AC73" s="46">
        <v>8.3699999999999997E-2</v>
      </c>
      <c r="AD73" s="74"/>
      <c r="AE73" s="74"/>
      <c r="AF73" s="74"/>
      <c r="AG73" s="57">
        <v>0.32</v>
      </c>
    </row>
    <row r="74" spans="1:33" hidden="1" x14ac:dyDescent="0.25">
      <c r="A74" s="44" t="s">
        <v>236</v>
      </c>
      <c r="B74" s="45" t="s">
        <v>3</v>
      </c>
      <c r="C74" s="45" t="s">
        <v>82</v>
      </c>
      <c r="D74" s="45" t="s">
        <v>83</v>
      </c>
      <c r="E74" s="45" t="s">
        <v>88</v>
      </c>
      <c r="F74" s="45" t="s">
        <v>88</v>
      </c>
      <c r="G74" s="45" t="s">
        <v>88</v>
      </c>
      <c r="H74" s="45" t="s">
        <v>77</v>
      </c>
      <c r="I74" s="45" t="s">
        <v>78</v>
      </c>
      <c r="J74" s="74" t="s">
        <v>79</v>
      </c>
      <c r="K74" s="44" t="s">
        <v>3</v>
      </c>
      <c r="L74" s="45" t="s">
        <v>88</v>
      </c>
      <c r="M74" s="74"/>
      <c r="N74" s="45" t="s">
        <v>86</v>
      </c>
      <c r="O74" s="45" t="s">
        <v>81</v>
      </c>
      <c r="P74" s="57">
        <v>0</v>
      </c>
      <c r="Q74" s="75"/>
      <c r="R74" s="74" t="s">
        <v>89</v>
      </c>
      <c r="S74" s="48">
        <v>771393.13999999897</v>
      </c>
      <c r="T74" s="48"/>
      <c r="U74" s="49">
        <v>771393.13999999897</v>
      </c>
      <c r="V74" s="48">
        <f t="shared" si="12"/>
        <v>0</v>
      </c>
      <c r="W74" s="50">
        <f t="shared" si="13"/>
        <v>771393.13999999897</v>
      </c>
      <c r="X74" s="48">
        <v>48960</v>
      </c>
      <c r="Y74" s="50">
        <f t="shared" si="10"/>
        <v>0</v>
      </c>
      <c r="Z74" s="50">
        <f t="shared" si="11"/>
        <v>820353.13999999897</v>
      </c>
      <c r="AA74" s="48">
        <f t="shared" si="14"/>
        <v>0</v>
      </c>
      <c r="AB74" s="48">
        <f t="shared" si="15"/>
        <v>771393.13999999897</v>
      </c>
      <c r="AC74" s="46">
        <v>8.3699999999999997E-2</v>
      </c>
      <c r="AD74" s="74"/>
      <c r="AE74" s="74"/>
      <c r="AF74" s="74"/>
      <c r="AG74" s="57">
        <v>0.32</v>
      </c>
    </row>
    <row r="75" spans="1:33" hidden="1" x14ac:dyDescent="0.25">
      <c r="A75" s="44" t="s">
        <v>236</v>
      </c>
      <c r="B75" s="45" t="s">
        <v>71</v>
      </c>
      <c r="C75" s="45" t="s">
        <v>90</v>
      </c>
      <c r="D75" s="45" t="s">
        <v>91</v>
      </c>
      <c r="E75" s="45" t="s">
        <v>92</v>
      </c>
      <c r="F75" s="45" t="s">
        <v>93</v>
      </c>
      <c r="G75" s="45" t="s">
        <v>76</v>
      </c>
      <c r="H75" s="45" t="s">
        <v>77</v>
      </c>
      <c r="I75" s="45" t="s">
        <v>78</v>
      </c>
      <c r="J75" s="74" t="s">
        <v>79</v>
      </c>
      <c r="K75" s="44" t="s">
        <v>3</v>
      </c>
      <c r="L75" s="45" t="s">
        <v>92</v>
      </c>
      <c r="M75" s="74"/>
      <c r="N75" s="44" t="s">
        <v>86</v>
      </c>
      <c r="O75" s="45" t="s">
        <v>81</v>
      </c>
      <c r="P75" s="57">
        <v>0</v>
      </c>
      <c r="Q75" s="75"/>
      <c r="R75" s="74"/>
      <c r="S75" s="48">
        <v>7.0399999999990497</v>
      </c>
      <c r="T75" s="48"/>
      <c r="U75" s="48">
        <v>0</v>
      </c>
      <c r="V75" s="48">
        <f t="shared" si="12"/>
        <v>7.0399999999990497</v>
      </c>
      <c r="W75" s="50">
        <f t="shared" si="13"/>
        <v>0</v>
      </c>
      <c r="X75" s="48"/>
      <c r="Y75" s="50">
        <f t="shared" si="10"/>
        <v>0</v>
      </c>
      <c r="Z75" s="50">
        <f t="shared" si="11"/>
        <v>0</v>
      </c>
      <c r="AA75" s="48">
        <f t="shared" si="14"/>
        <v>0</v>
      </c>
      <c r="AB75" s="48">
        <f t="shared" si="15"/>
        <v>0</v>
      </c>
      <c r="AC75" s="46">
        <v>8.3699999999999997E-2</v>
      </c>
      <c r="AD75" s="74"/>
      <c r="AE75" s="74"/>
      <c r="AF75" s="74"/>
      <c r="AG75" s="57">
        <v>0</v>
      </c>
    </row>
    <row r="76" spans="1:33" hidden="1" x14ac:dyDescent="0.25">
      <c r="A76" s="44" t="s">
        <v>236</v>
      </c>
      <c r="B76" s="45" t="s">
        <v>71</v>
      </c>
      <c r="C76" s="45" t="s">
        <v>72</v>
      </c>
      <c r="D76" s="45" t="s">
        <v>73</v>
      </c>
      <c r="E76" s="45" t="s">
        <v>74</v>
      </c>
      <c r="F76" s="45" t="s">
        <v>75</v>
      </c>
      <c r="G76" s="45" t="s">
        <v>76</v>
      </c>
      <c r="H76" s="45" t="s">
        <v>77</v>
      </c>
      <c r="I76" s="45" t="s">
        <v>78</v>
      </c>
      <c r="J76" s="74" t="s">
        <v>79</v>
      </c>
      <c r="K76" s="44" t="s">
        <v>3</v>
      </c>
      <c r="L76" s="45" t="s">
        <v>74</v>
      </c>
      <c r="M76" s="74"/>
      <c r="N76" s="44" t="s">
        <v>86</v>
      </c>
      <c r="O76" s="45" t="s">
        <v>94</v>
      </c>
      <c r="P76" s="57">
        <v>0.03</v>
      </c>
      <c r="Q76" s="75"/>
      <c r="R76" s="74"/>
      <c r="S76" s="48">
        <v>15899.0800000003</v>
      </c>
      <c r="T76" s="48"/>
      <c r="U76" s="48">
        <v>0</v>
      </c>
      <c r="V76" s="48">
        <f t="shared" si="12"/>
        <v>15899.0800000003</v>
      </c>
      <c r="W76" s="50">
        <f t="shared" si="13"/>
        <v>0</v>
      </c>
      <c r="X76" s="48"/>
      <c r="Y76" s="50">
        <f t="shared" si="10"/>
        <v>0</v>
      </c>
      <c r="Z76" s="50">
        <f t="shared" si="11"/>
        <v>0</v>
      </c>
      <c r="AA76" s="48">
        <f t="shared" si="14"/>
        <v>0</v>
      </c>
      <c r="AB76" s="48">
        <f t="shared" si="15"/>
        <v>0</v>
      </c>
      <c r="AC76" s="46">
        <v>8.3699999999999997E-2</v>
      </c>
      <c r="AD76" s="74"/>
      <c r="AE76" s="74"/>
      <c r="AF76" s="74"/>
      <c r="AG76" s="57">
        <v>7.0000000000000007E-2</v>
      </c>
    </row>
    <row r="77" spans="1:33" hidden="1" x14ac:dyDescent="0.25">
      <c r="A77" s="44" t="s">
        <v>236</v>
      </c>
      <c r="B77" s="45" t="s">
        <v>71</v>
      </c>
      <c r="C77" s="45" t="s">
        <v>72</v>
      </c>
      <c r="D77" s="45" t="s">
        <v>73</v>
      </c>
      <c r="E77" s="45" t="s">
        <v>74</v>
      </c>
      <c r="F77" s="45" t="s">
        <v>75</v>
      </c>
      <c r="G77" s="45" t="s">
        <v>76</v>
      </c>
      <c r="H77" s="45" t="s">
        <v>77</v>
      </c>
      <c r="I77" s="45" t="s">
        <v>78</v>
      </c>
      <c r="J77" s="74" t="s">
        <v>79</v>
      </c>
      <c r="K77" s="44" t="s">
        <v>3</v>
      </c>
      <c r="L77" s="45" t="s">
        <v>74</v>
      </c>
      <c r="M77" s="74"/>
      <c r="N77" s="44" t="s">
        <v>80</v>
      </c>
      <c r="O77" s="45" t="s">
        <v>94</v>
      </c>
      <c r="P77" s="57">
        <v>0.03</v>
      </c>
      <c r="Q77" s="75"/>
      <c r="R77" s="74"/>
      <c r="S77" s="48">
        <v>2383.1799999999998</v>
      </c>
      <c r="T77" s="48"/>
      <c r="U77" s="48">
        <v>0</v>
      </c>
      <c r="V77" s="48">
        <f t="shared" si="12"/>
        <v>2383.1799999999998</v>
      </c>
      <c r="W77" s="50">
        <f t="shared" si="13"/>
        <v>0</v>
      </c>
      <c r="X77" s="48"/>
      <c r="Y77" s="50">
        <f t="shared" si="10"/>
        <v>0</v>
      </c>
      <c r="Z77" s="50">
        <f t="shared" si="11"/>
        <v>0</v>
      </c>
      <c r="AA77" s="48">
        <f t="shared" si="14"/>
        <v>0</v>
      </c>
      <c r="AB77" s="48">
        <f t="shared" si="15"/>
        <v>0</v>
      </c>
      <c r="AC77" s="46">
        <v>8.3699999999999997E-2</v>
      </c>
      <c r="AD77" s="74"/>
      <c r="AE77" s="74"/>
      <c r="AF77" s="74"/>
      <c r="AG77" s="57">
        <v>7.0000000000000007E-2</v>
      </c>
    </row>
    <row r="78" spans="1:33" hidden="1" x14ac:dyDescent="0.25">
      <c r="A78" s="44" t="s">
        <v>236</v>
      </c>
      <c r="B78" s="45" t="s">
        <v>3</v>
      </c>
      <c r="C78" s="45" t="s">
        <v>95</v>
      </c>
      <c r="D78" s="45" t="s">
        <v>96</v>
      </c>
      <c r="E78" s="45" t="s">
        <v>99</v>
      </c>
      <c r="F78" s="45" t="s">
        <v>99</v>
      </c>
      <c r="G78" s="45" t="s">
        <v>99</v>
      </c>
      <c r="H78" s="45" t="s">
        <v>77</v>
      </c>
      <c r="I78" s="45" t="s">
        <v>78</v>
      </c>
      <c r="J78" s="74" t="s">
        <v>79</v>
      </c>
      <c r="K78" s="44" t="s">
        <v>3</v>
      </c>
      <c r="L78" s="45" t="s">
        <v>98</v>
      </c>
      <c r="M78" s="74"/>
      <c r="N78" s="44" t="s">
        <v>86</v>
      </c>
      <c r="O78" s="45" t="s">
        <v>94</v>
      </c>
      <c r="P78" s="57">
        <v>0.03</v>
      </c>
      <c r="Q78" s="75"/>
      <c r="R78" s="74"/>
      <c r="S78" s="48">
        <v>5696.55</v>
      </c>
      <c r="T78" s="48"/>
      <c r="U78" s="48">
        <v>0</v>
      </c>
      <c r="V78" s="48">
        <f t="shared" si="12"/>
        <v>5696.55</v>
      </c>
      <c r="W78" s="50">
        <f t="shared" si="13"/>
        <v>0</v>
      </c>
      <c r="X78" s="48"/>
      <c r="Y78" s="50">
        <f t="shared" si="10"/>
        <v>0</v>
      </c>
      <c r="Z78" s="50">
        <f t="shared" si="11"/>
        <v>0</v>
      </c>
      <c r="AA78" s="48">
        <f t="shared" si="14"/>
        <v>0</v>
      </c>
      <c r="AB78" s="48">
        <f t="shared" si="15"/>
        <v>0</v>
      </c>
      <c r="AC78" s="46">
        <v>8.3699999999999997E-2</v>
      </c>
      <c r="AD78" s="74"/>
      <c r="AE78" s="74"/>
      <c r="AF78" s="74"/>
      <c r="AG78" s="57">
        <v>0</v>
      </c>
    </row>
    <row r="79" spans="1:33" hidden="1" x14ac:dyDescent="0.25">
      <c r="A79" s="44" t="s">
        <v>236</v>
      </c>
      <c r="B79" s="45" t="s">
        <v>71</v>
      </c>
      <c r="C79" s="45" t="s">
        <v>90</v>
      </c>
      <c r="D79" s="45" t="s">
        <v>91</v>
      </c>
      <c r="E79" s="45" t="s">
        <v>103</v>
      </c>
      <c r="F79" s="45" t="s">
        <v>104</v>
      </c>
      <c r="G79" s="45" t="s">
        <v>76</v>
      </c>
      <c r="H79" s="45" t="s">
        <v>77</v>
      </c>
      <c r="I79" s="45" t="s">
        <v>78</v>
      </c>
      <c r="J79" s="74" t="s">
        <v>79</v>
      </c>
      <c r="K79" s="44" t="s">
        <v>3</v>
      </c>
      <c r="L79" s="45" t="s">
        <v>103</v>
      </c>
      <c r="M79" s="74"/>
      <c r="N79" s="44" t="s">
        <v>86</v>
      </c>
      <c r="O79" s="45" t="s">
        <v>94</v>
      </c>
      <c r="P79" s="57">
        <v>0.02</v>
      </c>
      <c r="Q79" s="75"/>
      <c r="R79" s="74"/>
      <c r="S79" s="48">
        <v>106099.63</v>
      </c>
      <c r="T79" s="48"/>
      <c r="U79" s="48">
        <v>0</v>
      </c>
      <c r="V79" s="48">
        <f t="shared" si="12"/>
        <v>106099.63</v>
      </c>
      <c r="W79" s="50">
        <f t="shared" si="13"/>
        <v>0</v>
      </c>
      <c r="X79" s="48"/>
      <c r="Y79" s="50">
        <f t="shared" si="10"/>
        <v>0</v>
      </c>
      <c r="Z79" s="50">
        <f t="shared" si="11"/>
        <v>0</v>
      </c>
      <c r="AA79" s="48">
        <f t="shared" si="14"/>
        <v>0</v>
      </c>
      <c r="AB79" s="48">
        <f t="shared" si="15"/>
        <v>0</v>
      </c>
      <c r="AC79" s="46">
        <v>8.3699999999999997E-2</v>
      </c>
      <c r="AD79" s="74"/>
      <c r="AE79" s="74"/>
      <c r="AF79" s="74"/>
      <c r="AG79" s="57">
        <v>0.42</v>
      </c>
    </row>
    <row r="80" spans="1:33" hidden="1" x14ac:dyDescent="0.25">
      <c r="A80" s="44" t="s">
        <v>236</v>
      </c>
      <c r="B80" s="45" t="s">
        <v>71</v>
      </c>
      <c r="C80" s="45" t="s">
        <v>90</v>
      </c>
      <c r="D80" s="45" t="s">
        <v>105</v>
      </c>
      <c r="E80" s="45" t="s">
        <v>106</v>
      </c>
      <c r="F80" s="45" t="s">
        <v>107</v>
      </c>
      <c r="G80" s="45" t="s">
        <v>76</v>
      </c>
      <c r="H80" s="45" t="s">
        <v>77</v>
      </c>
      <c r="I80" s="45" t="s">
        <v>78</v>
      </c>
      <c r="J80" s="74" t="s">
        <v>79</v>
      </c>
      <c r="K80" s="44" t="s">
        <v>3</v>
      </c>
      <c r="L80" s="45" t="s">
        <v>106</v>
      </c>
      <c r="M80" s="74"/>
      <c r="N80" s="44" t="s">
        <v>80</v>
      </c>
      <c r="O80" s="45" t="s">
        <v>81</v>
      </c>
      <c r="P80" s="57">
        <v>0</v>
      </c>
      <c r="Q80" s="75"/>
      <c r="R80" s="74"/>
      <c r="S80" s="48">
        <v>7741.65</v>
      </c>
      <c r="T80" s="48"/>
      <c r="U80" s="48">
        <v>0</v>
      </c>
      <c r="V80" s="48">
        <f t="shared" si="12"/>
        <v>7741.65</v>
      </c>
      <c r="W80" s="50">
        <f t="shared" si="13"/>
        <v>0</v>
      </c>
      <c r="X80" s="48"/>
      <c r="Y80" s="50">
        <f t="shared" si="10"/>
        <v>0</v>
      </c>
      <c r="Z80" s="50">
        <f t="shared" si="11"/>
        <v>0</v>
      </c>
      <c r="AA80" s="48">
        <f t="shared" si="14"/>
        <v>0</v>
      </c>
      <c r="AB80" s="48">
        <f t="shared" si="15"/>
        <v>0</v>
      </c>
      <c r="AC80" s="46">
        <v>8.3699999999999997E-2</v>
      </c>
      <c r="AD80" s="74"/>
      <c r="AE80" s="74"/>
      <c r="AF80" s="74"/>
      <c r="AG80" s="57">
        <v>0.42</v>
      </c>
    </row>
    <row r="81" spans="1:33" hidden="1" x14ac:dyDescent="0.25">
      <c r="A81" s="44" t="s">
        <v>236</v>
      </c>
      <c r="B81" s="45" t="s">
        <v>3</v>
      </c>
      <c r="C81" s="45" t="s">
        <v>81</v>
      </c>
      <c r="D81" s="45" t="s">
        <v>81</v>
      </c>
      <c r="E81" s="45" t="s">
        <v>108</v>
      </c>
      <c r="F81" s="45" t="s">
        <v>108</v>
      </c>
      <c r="G81" s="45" t="s">
        <v>108</v>
      </c>
      <c r="H81" s="45" t="s">
        <v>77</v>
      </c>
      <c r="I81" s="45" t="s">
        <v>78</v>
      </c>
      <c r="J81" s="74" t="s">
        <v>79</v>
      </c>
      <c r="K81" s="44" t="s">
        <v>3</v>
      </c>
      <c r="L81" s="45" t="s">
        <v>108</v>
      </c>
      <c r="M81" s="74"/>
      <c r="N81" s="44" t="s">
        <v>86</v>
      </c>
      <c r="O81" s="45" t="s">
        <v>81</v>
      </c>
      <c r="P81" s="57">
        <v>0</v>
      </c>
      <c r="Q81" s="75"/>
      <c r="R81" s="74"/>
      <c r="S81" s="48">
        <v>16754.62</v>
      </c>
      <c r="T81" s="48"/>
      <c r="U81" s="48">
        <v>73.150000000000006</v>
      </c>
      <c r="V81" s="48">
        <f t="shared" si="12"/>
        <v>16681.469999999998</v>
      </c>
      <c r="W81" s="50">
        <f t="shared" si="13"/>
        <v>73.150000000000006</v>
      </c>
      <c r="X81" s="48"/>
      <c r="Y81" s="50">
        <f t="shared" si="10"/>
        <v>0</v>
      </c>
      <c r="Z81" s="50">
        <f t="shared" si="11"/>
        <v>73.150000000000006</v>
      </c>
      <c r="AA81" s="48">
        <f t="shared" si="14"/>
        <v>0</v>
      </c>
      <c r="AB81" s="48">
        <f t="shared" si="15"/>
        <v>73.150000000000006</v>
      </c>
      <c r="AC81" s="46">
        <v>8.3699999999999997E-2</v>
      </c>
      <c r="AD81" s="74"/>
      <c r="AE81" s="74"/>
      <c r="AF81" s="74"/>
      <c r="AG81" s="57">
        <v>0.42</v>
      </c>
    </row>
    <row r="82" spans="1:33" hidden="1" x14ac:dyDescent="0.25">
      <c r="A82" s="44" t="s">
        <v>236</v>
      </c>
      <c r="B82" s="45" t="s">
        <v>71</v>
      </c>
      <c r="C82" s="45" t="s">
        <v>100</v>
      </c>
      <c r="D82" s="45" t="s">
        <v>101</v>
      </c>
      <c r="E82" s="45" t="s">
        <v>109</v>
      </c>
      <c r="F82" s="45" t="s">
        <v>110</v>
      </c>
      <c r="G82" s="45" t="s">
        <v>76</v>
      </c>
      <c r="H82" s="45" t="s">
        <v>77</v>
      </c>
      <c r="I82" s="45" t="s">
        <v>78</v>
      </c>
      <c r="J82" s="74" t="s">
        <v>79</v>
      </c>
      <c r="K82" s="44" t="s">
        <v>3</v>
      </c>
      <c r="L82" s="45" t="s">
        <v>111</v>
      </c>
      <c r="M82" s="74"/>
      <c r="N82" s="44" t="s">
        <v>80</v>
      </c>
      <c r="O82" s="45" t="s">
        <v>81</v>
      </c>
      <c r="P82" s="57">
        <v>0</v>
      </c>
      <c r="Q82" s="75"/>
      <c r="R82" s="74"/>
      <c r="S82" s="48">
        <v>547555.24</v>
      </c>
      <c r="T82" s="48">
        <v>-547555.24</v>
      </c>
      <c r="U82" s="48">
        <v>0</v>
      </c>
      <c r="V82" s="48">
        <f t="shared" si="12"/>
        <v>0</v>
      </c>
      <c r="W82" s="50">
        <f t="shared" si="13"/>
        <v>0</v>
      </c>
      <c r="X82" s="48"/>
      <c r="Y82" s="50">
        <f t="shared" si="10"/>
        <v>0</v>
      </c>
      <c r="Z82" s="50">
        <f t="shared" si="11"/>
        <v>0</v>
      </c>
      <c r="AA82" s="48">
        <f t="shared" si="14"/>
        <v>0</v>
      </c>
      <c r="AB82" s="48">
        <f t="shared" si="15"/>
        <v>0</v>
      </c>
      <c r="AC82" s="46">
        <v>8.3699999999999997E-2</v>
      </c>
      <c r="AD82" s="74"/>
      <c r="AE82" s="74"/>
      <c r="AF82" s="74"/>
      <c r="AG82" s="57">
        <v>0.42</v>
      </c>
    </row>
    <row r="83" spans="1:33" hidden="1" x14ac:dyDescent="0.25">
      <c r="A83" s="44" t="s">
        <v>236</v>
      </c>
      <c r="B83" s="45" t="s">
        <v>71</v>
      </c>
      <c r="C83" s="45" t="s">
        <v>100</v>
      </c>
      <c r="D83" s="45" t="s">
        <v>101</v>
      </c>
      <c r="E83" s="45" t="s">
        <v>112</v>
      </c>
      <c r="F83" s="45" t="s">
        <v>113</v>
      </c>
      <c r="G83" s="45" t="s">
        <v>76</v>
      </c>
      <c r="H83" s="45" t="s">
        <v>77</v>
      </c>
      <c r="I83" s="45" t="s">
        <v>78</v>
      </c>
      <c r="J83" s="74" t="s">
        <v>79</v>
      </c>
      <c r="K83" s="44" t="s">
        <v>3</v>
      </c>
      <c r="L83" s="45" t="s">
        <v>112</v>
      </c>
      <c r="M83" s="74"/>
      <c r="N83" s="44" t="s">
        <v>86</v>
      </c>
      <c r="O83" s="45" t="s">
        <v>81</v>
      </c>
      <c r="P83" s="57">
        <v>0</v>
      </c>
      <c r="Q83" s="75"/>
      <c r="R83" s="74"/>
      <c r="S83" s="55">
        <v>68894.880000000005</v>
      </c>
      <c r="T83" s="48"/>
      <c r="U83" s="48">
        <v>0</v>
      </c>
      <c r="V83" s="48">
        <f t="shared" si="12"/>
        <v>68894.880000000005</v>
      </c>
      <c r="W83" s="50">
        <f t="shared" si="13"/>
        <v>0</v>
      </c>
      <c r="X83" s="48"/>
      <c r="Y83" s="50">
        <f t="shared" si="10"/>
        <v>0</v>
      </c>
      <c r="Z83" s="50">
        <f t="shared" si="11"/>
        <v>0</v>
      </c>
      <c r="AA83" s="48">
        <f t="shared" si="14"/>
        <v>0</v>
      </c>
      <c r="AB83" s="48">
        <f t="shared" si="15"/>
        <v>0</v>
      </c>
      <c r="AC83" s="46">
        <v>8.3699999999999997E-2</v>
      </c>
      <c r="AD83" s="74"/>
      <c r="AE83" s="74"/>
      <c r="AF83" s="74"/>
      <c r="AG83" s="57">
        <v>0</v>
      </c>
    </row>
    <row r="84" spans="1:33" hidden="1" x14ac:dyDescent="0.25">
      <c r="A84" s="44" t="s">
        <v>236</v>
      </c>
      <c r="B84" s="45" t="s">
        <v>3</v>
      </c>
      <c r="C84" s="45" t="s">
        <v>90</v>
      </c>
      <c r="D84" s="45" t="s">
        <v>114</v>
      </c>
      <c r="E84" s="45" t="s">
        <v>115</v>
      </c>
      <c r="F84" s="45" t="s">
        <v>115</v>
      </c>
      <c r="G84" s="45" t="s">
        <v>115</v>
      </c>
      <c r="H84" s="45" t="s">
        <v>77</v>
      </c>
      <c r="I84" s="45" t="s">
        <v>78</v>
      </c>
      <c r="J84" s="74" t="s">
        <v>79</v>
      </c>
      <c r="K84" s="44" t="s">
        <v>3</v>
      </c>
      <c r="L84" s="45" t="s">
        <v>116</v>
      </c>
      <c r="M84" s="74"/>
      <c r="N84" s="44" t="s">
        <v>86</v>
      </c>
      <c r="O84" s="45" t="s">
        <v>94</v>
      </c>
      <c r="P84" s="46">
        <v>-0.15</v>
      </c>
      <c r="Q84" s="75"/>
      <c r="R84" s="74"/>
      <c r="S84" s="48">
        <v>205.52</v>
      </c>
      <c r="T84" s="48"/>
      <c r="U84" s="48">
        <v>0</v>
      </c>
      <c r="V84" s="48">
        <f t="shared" si="12"/>
        <v>205.52</v>
      </c>
      <c r="W84" s="50">
        <f t="shared" si="13"/>
        <v>0</v>
      </c>
      <c r="X84" s="48"/>
      <c r="Y84" s="50">
        <f t="shared" si="10"/>
        <v>0</v>
      </c>
      <c r="Z84" s="50">
        <f t="shared" si="11"/>
        <v>0</v>
      </c>
      <c r="AA84" s="48">
        <f t="shared" si="14"/>
        <v>0</v>
      </c>
      <c r="AB84" s="48">
        <f t="shared" si="15"/>
        <v>0</v>
      </c>
      <c r="AC84" s="46">
        <v>8.3699999999999997E-2</v>
      </c>
      <c r="AD84" s="74"/>
      <c r="AE84" s="74"/>
      <c r="AF84" s="74"/>
      <c r="AG84" s="46">
        <v>0.26</v>
      </c>
    </row>
    <row r="85" spans="1:33" hidden="1" x14ac:dyDescent="0.25">
      <c r="A85" s="44" t="s">
        <v>236</v>
      </c>
      <c r="B85" s="45" t="s">
        <v>71</v>
      </c>
      <c r="C85" s="45" t="s">
        <v>82</v>
      </c>
      <c r="D85" s="45" t="s">
        <v>117</v>
      </c>
      <c r="E85" s="45" t="s">
        <v>118</v>
      </c>
      <c r="F85" s="45" t="s">
        <v>119</v>
      </c>
      <c r="G85" s="45" t="s">
        <v>76</v>
      </c>
      <c r="H85" s="45" t="s">
        <v>77</v>
      </c>
      <c r="I85" s="45" t="s">
        <v>78</v>
      </c>
      <c r="J85" s="74" t="s">
        <v>79</v>
      </c>
      <c r="K85" s="44" t="s">
        <v>3</v>
      </c>
      <c r="L85" s="45" t="s">
        <v>120</v>
      </c>
      <c r="M85" s="74"/>
      <c r="N85" s="44" t="s">
        <v>80</v>
      </c>
      <c r="O85" s="45" t="s">
        <v>94</v>
      </c>
      <c r="P85" s="57">
        <v>0.05</v>
      </c>
      <c r="Q85" s="75"/>
      <c r="R85" s="74"/>
      <c r="S85" s="48">
        <v>1766.24</v>
      </c>
      <c r="T85" s="48"/>
      <c r="U85" s="48">
        <v>0</v>
      </c>
      <c r="V85" s="48">
        <f t="shared" si="12"/>
        <v>1766.24</v>
      </c>
      <c r="W85" s="50">
        <f t="shared" si="13"/>
        <v>0</v>
      </c>
      <c r="X85" s="48"/>
      <c r="Y85" s="50">
        <f t="shared" si="10"/>
        <v>0</v>
      </c>
      <c r="Z85" s="50">
        <f t="shared" si="11"/>
        <v>0</v>
      </c>
      <c r="AA85" s="48">
        <f t="shared" si="14"/>
        <v>0</v>
      </c>
      <c r="AB85" s="48">
        <f t="shared" si="15"/>
        <v>0</v>
      </c>
      <c r="AC85" s="46">
        <v>8.3699999999999997E-2</v>
      </c>
      <c r="AD85" s="74"/>
      <c r="AE85" s="74"/>
      <c r="AF85" s="74"/>
      <c r="AG85" s="57">
        <v>0.42</v>
      </c>
    </row>
    <row r="86" spans="1:33" hidden="1" x14ac:dyDescent="0.25">
      <c r="A86" s="44" t="s">
        <v>236</v>
      </c>
      <c r="B86" s="45" t="s">
        <v>3</v>
      </c>
      <c r="C86" s="45" t="s">
        <v>100</v>
      </c>
      <c r="D86" s="45" t="s">
        <v>101</v>
      </c>
      <c r="E86" s="45" t="s">
        <v>121</v>
      </c>
      <c r="F86" s="45" t="s">
        <v>121</v>
      </c>
      <c r="G86" s="45" t="s">
        <v>121</v>
      </c>
      <c r="H86" s="45" t="s">
        <v>77</v>
      </c>
      <c r="I86" s="45" t="s">
        <v>78</v>
      </c>
      <c r="J86" s="74" t="s">
        <v>79</v>
      </c>
      <c r="K86" s="44" t="s">
        <v>3</v>
      </c>
      <c r="L86" s="45" t="s">
        <v>121</v>
      </c>
      <c r="M86" s="74"/>
      <c r="N86" s="44" t="s">
        <v>86</v>
      </c>
      <c r="O86" s="45" t="s">
        <v>94</v>
      </c>
      <c r="P86" s="57">
        <v>5.5E-2</v>
      </c>
      <c r="Q86" s="75"/>
      <c r="R86" s="74"/>
      <c r="S86" s="48">
        <v>41646.660000000003</v>
      </c>
      <c r="T86" s="48"/>
      <c r="U86" s="48">
        <v>29355.1</v>
      </c>
      <c r="V86" s="48">
        <f t="shared" si="12"/>
        <v>12291.560000000005</v>
      </c>
      <c r="W86" s="50">
        <f t="shared" si="13"/>
        <v>28004.028451882841</v>
      </c>
      <c r="X86" s="48"/>
      <c r="Y86" s="50">
        <f t="shared" si="10"/>
        <v>0</v>
      </c>
      <c r="Z86" s="50">
        <f t="shared" si="11"/>
        <v>28004.028451882841</v>
      </c>
      <c r="AA86" s="48">
        <f t="shared" si="14"/>
        <v>1351.0715481171574</v>
      </c>
      <c r="AB86" s="48">
        <f t="shared" si="15"/>
        <v>29355.1</v>
      </c>
      <c r="AC86" s="46">
        <v>8.3699999999999997E-2</v>
      </c>
      <c r="AD86" s="74"/>
      <c r="AE86" s="74"/>
      <c r="AF86" s="74"/>
      <c r="AG86" s="57">
        <v>0.14000000000000001</v>
      </c>
    </row>
    <row r="87" spans="1:33" hidden="1" x14ac:dyDescent="0.25">
      <c r="A87" s="44" t="s">
        <v>236</v>
      </c>
      <c r="B87" s="45" t="s">
        <v>71</v>
      </c>
      <c r="C87" s="45" t="s">
        <v>72</v>
      </c>
      <c r="D87" s="45" t="s">
        <v>122</v>
      </c>
      <c r="E87" s="45" t="s">
        <v>123</v>
      </c>
      <c r="F87" s="45" t="s">
        <v>124</v>
      </c>
      <c r="G87" s="45" t="s">
        <v>76</v>
      </c>
      <c r="H87" s="45" t="s">
        <v>77</v>
      </c>
      <c r="I87" s="45" t="s">
        <v>78</v>
      </c>
      <c r="J87" s="74" t="s">
        <v>79</v>
      </c>
      <c r="K87" s="44" t="s">
        <v>3</v>
      </c>
      <c r="L87" s="45" t="s">
        <v>125</v>
      </c>
      <c r="M87" s="74"/>
      <c r="N87" s="44" t="s">
        <v>126</v>
      </c>
      <c r="O87" s="45" t="s">
        <v>94</v>
      </c>
      <c r="P87" s="57">
        <v>0.18</v>
      </c>
      <c r="Q87" s="75"/>
      <c r="R87" s="74"/>
      <c r="S87" s="48">
        <v>131941.95000000001</v>
      </c>
      <c r="T87" s="48"/>
      <c r="U87" s="48">
        <v>0</v>
      </c>
      <c r="V87" s="48">
        <f t="shared" si="12"/>
        <v>131941.95000000001</v>
      </c>
      <c r="W87" s="50">
        <f t="shared" si="13"/>
        <v>0</v>
      </c>
      <c r="X87" s="48"/>
      <c r="Y87" s="50">
        <f t="shared" si="10"/>
        <v>0</v>
      </c>
      <c r="Z87" s="50">
        <f t="shared" si="11"/>
        <v>0</v>
      </c>
      <c r="AA87" s="48">
        <f t="shared" si="14"/>
        <v>0</v>
      </c>
      <c r="AB87" s="48">
        <f t="shared" si="15"/>
        <v>0</v>
      </c>
      <c r="AC87" s="46">
        <v>0.1038</v>
      </c>
      <c r="AD87" s="74"/>
      <c r="AE87" s="74"/>
      <c r="AF87" s="74"/>
      <c r="AG87" s="46">
        <v>0.42</v>
      </c>
    </row>
    <row r="88" spans="1:33" hidden="1" x14ac:dyDescent="0.25">
      <c r="A88" s="44" t="s">
        <v>236</v>
      </c>
      <c r="B88" s="45" t="s">
        <v>71</v>
      </c>
      <c r="C88" s="45" t="s">
        <v>127</v>
      </c>
      <c r="D88" s="45" t="s">
        <v>128</v>
      </c>
      <c r="E88" s="45" t="s">
        <v>129</v>
      </c>
      <c r="F88" s="45" t="s">
        <v>130</v>
      </c>
      <c r="G88" s="45" t="s">
        <v>76</v>
      </c>
      <c r="H88" s="45" t="s">
        <v>77</v>
      </c>
      <c r="I88" s="45" t="s">
        <v>78</v>
      </c>
      <c r="J88" s="74" t="s">
        <v>79</v>
      </c>
      <c r="K88" s="44" t="s">
        <v>3</v>
      </c>
      <c r="L88" s="45" t="s">
        <v>125</v>
      </c>
      <c r="M88" s="74"/>
      <c r="N88" s="44" t="s">
        <v>126</v>
      </c>
      <c r="O88" s="45" t="s">
        <v>94</v>
      </c>
      <c r="P88" s="57">
        <v>0.18</v>
      </c>
      <c r="Q88" s="75"/>
      <c r="R88" s="74"/>
      <c r="S88" s="48">
        <v>8102.9149295775096</v>
      </c>
      <c r="T88" s="48"/>
      <c r="U88" s="48">
        <v>0</v>
      </c>
      <c r="V88" s="48">
        <f t="shared" si="12"/>
        <v>8102.9149295775096</v>
      </c>
      <c r="W88" s="50">
        <f t="shared" si="13"/>
        <v>0</v>
      </c>
      <c r="X88" s="48"/>
      <c r="Y88" s="50">
        <f t="shared" si="10"/>
        <v>0</v>
      </c>
      <c r="Z88" s="50">
        <f t="shared" si="11"/>
        <v>0</v>
      </c>
      <c r="AA88" s="48">
        <f t="shared" si="14"/>
        <v>0</v>
      </c>
      <c r="AB88" s="48">
        <f t="shared" si="15"/>
        <v>0</v>
      </c>
      <c r="AC88" s="46">
        <v>0.1038</v>
      </c>
      <c r="AD88" s="74"/>
      <c r="AE88" s="74"/>
      <c r="AF88" s="74"/>
      <c r="AG88" s="57">
        <v>0.42</v>
      </c>
    </row>
    <row r="89" spans="1:33" hidden="1" x14ac:dyDescent="0.25">
      <c r="A89" s="44" t="s">
        <v>236</v>
      </c>
      <c r="B89" s="45" t="s">
        <v>71</v>
      </c>
      <c r="C89" s="45" t="s">
        <v>127</v>
      </c>
      <c r="D89" s="45" t="s">
        <v>128</v>
      </c>
      <c r="E89" s="45" t="s">
        <v>131</v>
      </c>
      <c r="F89" s="45" t="s">
        <v>132</v>
      </c>
      <c r="G89" s="45" t="s">
        <v>76</v>
      </c>
      <c r="H89" s="45" t="s">
        <v>77</v>
      </c>
      <c r="I89" s="45" t="s">
        <v>78</v>
      </c>
      <c r="J89" s="74" t="s">
        <v>79</v>
      </c>
      <c r="K89" s="44" t="s">
        <v>3</v>
      </c>
      <c r="L89" s="45" t="s">
        <v>125</v>
      </c>
      <c r="M89" s="74"/>
      <c r="N89" s="44" t="s">
        <v>126</v>
      </c>
      <c r="O89" s="45" t="s">
        <v>94</v>
      </c>
      <c r="P89" s="57">
        <v>0.03</v>
      </c>
      <c r="Q89" s="75"/>
      <c r="R89" s="74"/>
      <c r="S89" s="48">
        <v>655.37999999978604</v>
      </c>
      <c r="T89" s="48"/>
      <c r="U89" s="48">
        <v>0</v>
      </c>
      <c r="V89" s="48">
        <f t="shared" si="12"/>
        <v>655.37999999978604</v>
      </c>
      <c r="W89" s="50">
        <f t="shared" si="13"/>
        <v>0</v>
      </c>
      <c r="X89" s="48"/>
      <c r="Y89" s="50">
        <f t="shared" si="10"/>
        <v>0</v>
      </c>
      <c r="Z89" s="50">
        <f t="shared" si="11"/>
        <v>0</v>
      </c>
      <c r="AA89" s="48">
        <f t="shared" si="14"/>
        <v>0</v>
      </c>
      <c r="AB89" s="48">
        <f t="shared" si="15"/>
        <v>0</v>
      </c>
      <c r="AC89" s="46">
        <v>0.1038</v>
      </c>
      <c r="AD89" s="74"/>
      <c r="AE89" s="74"/>
      <c r="AF89" s="74"/>
      <c r="AG89" s="57">
        <v>0.42</v>
      </c>
    </row>
    <row r="90" spans="1:33" hidden="1" x14ac:dyDescent="0.25">
      <c r="A90" s="44" t="s">
        <v>236</v>
      </c>
      <c r="B90" s="45" t="s">
        <v>71</v>
      </c>
      <c r="C90" s="45" t="s">
        <v>127</v>
      </c>
      <c r="D90" s="45" t="s">
        <v>128</v>
      </c>
      <c r="E90" s="45" t="s">
        <v>133</v>
      </c>
      <c r="F90" s="45" t="s">
        <v>134</v>
      </c>
      <c r="G90" s="45" t="s">
        <v>76</v>
      </c>
      <c r="H90" s="45" t="s">
        <v>77</v>
      </c>
      <c r="I90" s="45" t="s">
        <v>78</v>
      </c>
      <c r="J90" s="74" t="s">
        <v>79</v>
      </c>
      <c r="K90" s="44" t="s">
        <v>3</v>
      </c>
      <c r="L90" s="45" t="s">
        <v>125</v>
      </c>
      <c r="M90" s="74"/>
      <c r="N90" s="44" t="s">
        <v>126</v>
      </c>
      <c r="O90" s="45" t="s">
        <v>94</v>
      </c>
      <c r="P90" s="57">
        <v>0.22</v>
      </c>
      <c r="Q90" s="75"/>
      <c r="R90" s="74"/>
      <c r="S90" s="48">
        <v>354.84000000002601</v>
      </c>
      <c r="T90" s="48"/>
      <c r="U90" s="48">
        <v>0</v>
      </c>
      <c r="V90" s="48">
        <f t="shared" si="12"/>
        <v>354.84000000002601</v>
      </c>
      <c r="W90" s="50">
        <f t="shared" si="13"/>
        <v>0</v>
      </c>
      <c r="X90" s="48"/>
      <c r="Y90" s="50">
        <f t="shared" si="10"/>
        <v>0</v>
      </c>
      <c r="Z90" s="50">
        <f t="shared" si="11"/>
        <v>0</v>
      </c>
      <c r="AA90" s="48">
        <f t="shared" si="14"/>
        <v>0</v>
      </c>
      <c r="AB90" s="48">
        <f t="shared" si="15"/>
        <v>0</v>
      </c>
      <c r="AC90" s="46">
        <v>0.1038</v>
      </c>
      <c r="AD90" s="74"/>
      <c r="AE90" s="74"/>
      <c r="AF90" s="74"/>
      <c r="AG90" s="57">
        <v>0.42</v>
      </c>
    </row>
    <row r="91" spans="1:33" hidden="1" x14ac:dyDescent="0.25">
      <c r="A91" s="44" t="s">
        <v>236</v>
      </c>
      <c r="B91" s="45" t="s">
        <v>71</v>
      </c>
      <c r="C91" s="45" t="s">
        <v>127</v>
      </c>
      <c r="D91" s="45" t="s">
        <v>128</v>
      </c>
      <c r="E91" s="45" t="s">
        <v>135</v>
      </c>
      <c r="F91" s="45" t="s">
        <v>136</v>
      </c>
      <c r="G91" s="45" t="s">
        <v>76</v>
      </c>
      <c r="H91" s="45" t="s">
        <v>77</v>
      </c>
      <c r="I91" s="45" t="s">
        <v>78</v>
      </c>
      <c r="J91" s="74" t="s">
        <v>79</v>
      </c>
      <c r="K91" s="44" t="s">
        <v>3</v>
      </c>
      <c r="L91" s="45" t="s">
        <v>125</v>
      </c>
      <c r="M91" s="74"/>
      <c r="N91" s="44" t="s">
        <v>126</v>
      </c>
      <c r="O91" s="45" t="s">
        <v>94</v>
      </c>
      <c r="P91" s="57">
        <v>0.08</v>
      </c>
      <c r="Q91" s="75"/>
      <c r="R91" s="74"/>
      <c r="S91" s="48">
        <v>0</v>
      </c>
      <c r="T91" s="48"/>
      <c r="U91" s="48">
        <v>0</v>
      </c>
      <c r="V91" s="48">
        <f t="shared" si="12"/>
        <v>0</v>
      </c>
      <c r="W91" s="50">
        <f t="shared" si="13"/>
        <v>0</v>
      </c>
      <c r="X91" s="48"/>
      <c r="Y91" s="50">
        <f t="shared" si="10"/>
        <v>0</v>
      </c>
      <c r="Z91" s="50">
        <f t="shared" si="11"/>
        <v>0</v>
      </c>
      <c r="AA91" s="48">
        <f t="shared" si="14"/>
        <v>0</v>
      </c>
      <c r="AB91" s="48">
        <f t="shared" si="15"/>
        <v>0</v>
      </c>
      <c r="AC91" s="46">
        <v>0.1038</v>
      </c>
      <c r="AD91" s="74"/>
      <c r="AE91" s="74"/>
      <c r="AF91" s="74"/>
      <c r="AG91" s="57" t="s">
        <v>137</v>
      </c>
    </row>
    <row r="92" spans="1:33" hidden="1" x14ac:dyDescent="0.25">
      <c r="A92" s="44" t="s">
        <v>236</v>
      </c>
      <c r="B92" s="45" t="s">
        <v>71</v>
      </c>
      <c r="C92" s="45" t="s">
        <v>127</v>
      </c>
      <c r="D92" s="45" t="s">
        <v>128</v>
      </c>
      <c r="E92" s="45" t="s">
        <v>138</v>
      </c>
      <c r="F92" s="45" t="s">
        <v>139</v>
      </c>
      <c r="G92" s="45" t="s">
        <v>76</v>
      </c>
      <c r="H92" s="45" t="s">
        <v>77</v>
      </c>
      <c r="I92" s="45" t="s">
        <v>78</v>
      </c>
      <c r="J92" s="74" t="s">
        <v>79</v>
      </c>
      <c r="K92" s="44" t="s">
        <v>3</v>
      </c>
      <c r="L92" s="45" t="s">
        <v>125</v>
      </c>
      <c r="M92" s="74"/>
      <c r="N92" s="44" t="s">
        <v>126</v>
      </c>
      <c r="O92" s="45" t="s">
        <v>94</v>
      </c>
      <c r="P92" s="57">
        <v>0.04</v>
      </c>
      <c r="Q92" s="75"/>
      <c r="R92" s="74"/>
      <c r="S92" s="48">
        <v>227.30774647876399</v>
      </c>
      <c r="T92" s="48"/>
      <c r="U92" s="48">
        <v>0</v>
      </c>
      <c r="V92" s="48">
        <f t="shared" si="12"/>
        <v>227.30774647876399</v>
      </c>
      <c r="W92" s="50">
        <f t="shared" si="13"/>
        <v>0</v>
      </c>
      <c r="X92" s="48"/>
      <c r="Y92" s="50">
        <f t="shared" si="10"/>
        <v>0</v>
      </c>
      <c r="Z92" s="50">
        <f t="shared" si="11"/>
        <v>0</v>
      </c>
      <c r="AA92" s="48">
        <f t="shared" si="14"/>
        <v>0</v>
      </c>
      <c r="AB92" s="48">
        <f t="shared" si="15"/>
        <v>0</v>
      </c>
      <c r="AC92" s="46">
        <v>0.1038</v>
      </c>
      <c r="AD92" s="74"/>
      <c r="AE92" s="74"/>
      <c r="AF92" s="74"/>
      <c r="AG92" s="57">
        <v>0.42</v>
      </c>
    </row>
    <row r="93" spans="1:33" hidden="1" x14ac:dyDescent="0.25">
      <c r="A93" s="44" t="s">
        <v>236</v>
      </c>
      <c r="B93" s="45" t="s">
        <v>71</v>
      </c>
      <c r="C93" s="45" t="s">
        <v>127</v>
      </c>
      <c r="D93" s="45" t="s">
        <v>128</v>
      </c>
      <c r="E93" s="45" t="s">
        <v>123</v>
      </c>
      <c r="F93" s="45" t="s">
        <v>140</v>
      </c>
      <c r="G93" s="45" t="s">
        <v>76</v>
      </c>
      <c r="H93" s="45" t="s">
        <v>77</v>
      </c>
      <c r="I93" s="45" t="s">
        <v>78</v>
      </c>
      <c r="J93" s="74" t="s">
        <v>79</v>
      </c>
      <c r="K93" s="44" t="s">
        <v>3</v>
      </c>
      <c r="L93" s="45" t="s">
        <v>125</v>
      </c>
      <c r="M93" s="74"/>
      <c r="N93" s="44" t="s">
        <v>126</v>
      </c>
      <c r="O93" s="45" t="s">
        <v>94</v>
      </c>
      <c r="P93" s="57">
        <v>0.23</v>
      </c>
      <c r="Q93" s="75"/>
      <c r="R93" s="74"/>
      <c r="S93" s="48">
        <v>152.264929577999</v>
      </c>
      <c r="T93" s="48"/>
      <c r="U93" s="48">
        <v>0</v>
      </c>
      <c r="V93" s="48">
        <f t="shared" si="12"/>
        <v>152.264929577999</v>
      </c>
      <c r="W93" s="50">
        <f t="shared" si="13"/>
        <v>0</v>
      </c>
      <c r="X93" s="48"/>
      <c r="Y93" s="50">
        <f t="shared" si="10"/>
        <v>0</v>
      </c>
      <c r="Z93" s="50">
        <f t="shared" si="11"/>
        <v>0</v>
      </c>
      <c r="AA93" s="48">
        <f t="shared" si="14"/>
        <v>0</v>
      </c>
      <c r="AB93" s="48">
        <f t="shared" si="15"/>
        <v>0</v>
      </c>
      <c r="AC93" s="46">
        <v>0.1038</v>
      </c>
      <c r="AD93" s="74"/>
      <c r="AE93" s="74"/>
      <c r="AF93" s="74"/>
      <c r="AG93" s="57" t="s">
        <v>137</v>
      </c>
    </row>
    <row r="94" spans="1:33" hidden="1" x14ac:dyDescent="0.25">
      <c r="A94" s="44" t="s">
        <v>236</v>
      </c>
      <c r="B94" s="45" t="s">
        <v>71</v>
      </c>
      <c r="C94" s="45" t="s">
        <v>127</v>
      </c>
      <c r="D94" s="45" t="s">
        <v>128</v>
      </c>
      <c r="E94" s="45" t="s">
        <v>141</v>
      </c>
      <c r="F94" s="45" t="s">
        <v>142</v>
      </c>
      <c r="G94" s="45" t="s">
        <v>76</v>
      </c>
      <c r="H94" s="45" t="s">
        <v>77</v>
      </c>
      <c r="I94" s="45" t="s">
        <v>78</v>
      </c>
      <c r="J94" s="74" t="s">
        <v>79</v>
      </c>
      <c r="K94" s="44" t="s">
        <v>3</v>
      </c>
      <c r="L94" s="45" t="s">
        <v>125</v>
      </c>
      <c r="M94" s="74"/>
      <c r="N94" s="44" t="s">
        <v>126</v>
      </c>
      <c r="O94" s="45" t="s">
        <v>94</v>
      </c>
      <c r="P94" s="57">
        <v>0.13</v>
      </c>
      <c r="Q94" s="75"/>
      <c r="R94" s="74"/>
      <c r="S94" s="48">
        <v>-30329.470000000099</v>
      </c>
      <c r="T94" s="48"/>
      <c r="U94" s="48">
        <v>0</v>
      </c>
      <c r="V94" s="48">
        <f t="shared" si="12"/>
        <v>-30329.470000000099</v>
      </c>
      <c r="W94" s="50">
        <f t="shared" si="13"/>
        <v>0</v>
      </c>
      <c r="X94" s="48"/>
      <c r="Y94" s="50">
        <f t="shared" si="10"/>
        <v>0</v>
      </c>
      <c r="Z94" s="50">
        <f t="shared" si="11"/>
        <v>0</v>
      </c>
      <c r="AA94" s="48">
        <f t="shared" si="14"/>
        <v>0</v>
      </c>
      <c r="AB94" s="48">
        <f t="shared" si="15"/>
        <v>0</v>
      </c>
      <c r="AC94" s="46">
        <v>0.1038</v>
      </c>
      <c r="AD94" s="74"/>
      <c r="AE94" s="74"/>
      <c r="AF94" s="74"/>
      <c r="AG94" s="57" t="s">
        <v>137</v>
      </c>
    </row>
    <row r="95" spans="1:33" hidden="1" x14ac:dyDescent="0.25">
      <c r="A95" s="44" t="s">
        <v>236</v>
      </c>
      <c r="B95" s="45" t="s">
        <v>71</v>
      </c>
      <c r="C95" s="45" t="s">
        <v>127</v>
      </c>
      <c r="D95" s="45" t="s">
        <v>128</v>
      </c>
      <c r="E95" s="45" t="s">
        <v>143</v>
      </c>
      <c r="F95" s="45" t="s">
        <v>144</v>
      </c>
      <c r="G95" s="45" t="s">
        <v>76</v>
      </c>
      <c r="H95" s="45" t="s">
        <v>77</v>
      </c>
      <c r="I95" s="45" t="s">
        <v>78</v>
      </c>
      <c r="J95" s="74" t="s">
        <v>79</v>
      </c>
      <c r="K95" s="44" t="s">
        <v>3</v>
      </c>
      <c r="L95" s="45" t="s">
        <v>125</v>
      </c>
      <c r="M95" s="74"/>
      <c r="N95" s="44" t="s">
        <v>126</v>
      </c>
      <c r="O95" s="45" t="s">
        <v>94</v>
      </c>
      <c r="P95" s="57">
        <v>0.03</v>
      </c>
      <c r="Q95" s="75"/>
      <c r="R95" s="74"/>
      <c r="S95" s="48">
        <v>425.555211267598</v>
      </c>
      <c r="T95" s="48"/>
      <c r="U95" s="48">
        <v>0</v>
      </c>
      <c r="V95" s="48">
        <f t="shared" si="12"/>
        <v>425.555211267598</v>
      </c>
      <c r="W95" s="50">
        <f t="shared" si="13"/>
        <v>0</v>
      </c>
      <c r="X95" s="48"/>
      <c r="Y95" s="50">
        <f t="shared" si="10"/>
        <v>0</v>
      </c>
      <c r="Z95" s="50">
        <f t="shared" si="11"/>
        <v>0</v>
      </c>
      <c r="AA95" s="48">
        <f t="shared" si="14"/>
        <v>0</v>
      </c>
      <c r="AB95" s="48">
        <f t="shared" si="15"/>
        <v>0</v>
      </c>
      <c r="AC95" s="46">
        <v>0.1038</v>
      </c>
      <c r="AD95" s="74"/>
      <c r="AE95" s="74"/>
      <c r="AF95" s="74"/>
      <c r="AG95" s="57">
        <v>0.42</v>
      </c>
    </row>
    <row r="96" spans="1:33" hidden="1" x14ac:dyDescent="0.25">
      <c r="A96" s="44" t="s">
        <v>236</v>
      </c>
      <c r="B96" s="45" t="s">
        <v>71</v>
      </c>
      <c r="C96" s="45" t="s">
        <v>127</v>
      </c>
      <c r="D96" s="45" t="s">
        <v>128</v>
      </c>
      <c r="E96" s="45" t="s">
        <v>145</v>
      </c>
      <c r="F96" s="45" t="s">
        <v>146</v>
      </c>
      <c r="G96" s="45" t="s">
        <v>76</v>
      </c>
      <c r="H96" s="45" t="s">
        <v>77</v>
      </c>
      <c r="I96" s="45" t="s">
        <v>78</v>
      </c>
      <c r="J96" s="74" t="s">
        <v>79</v>
      </c>
      <c r="K96" s="44" t="s">
        <v>3</v>
      </c>
      <c r="L96" s="45" t="s">
        <v>125</v>
      </c>
      <c r="M96" s="74"/>
      <c r="N96" s="44" t="s">
        <v>126</v>
      </c>
      <c r="O96" s="45" t="s">
        <v>94</v>
      </c>
      <c r="P96" s="57">
        <v>0.22</v>
      </c>
      <c r="Q96" s="75"/>
      <c r="R96" s="74"/>
      <c r="S96" s="48">
        <v>1402.38690140774</v>
      </c>
      <c r="T96" s="48"/>
      <c r="U96" s="48">
        <v>0</v>
      </c>
      <c r="V96" s="48">
        <f t="shared" si="12"/>
        <v>1402.38690140774</v>
      </c>
      <c r="W96" s="50">
        <f t="shared" si="13"/>
        <v>0</v>
      </c>
      <c r="X96" s="48"/>
      <c r="Y96" s="50">
        <f t="shared" si="10"/>
        <v>0</v>
      </c>
      <c r="Z96" s="50">
        <f t="shared" si="11"/>
        <v>0</v>
      </c>
      <c r="AA96" s="48">
        <f t="shared" si="14"/>
        <v>0</v>
      </c>
      <c r="AB96" s="48">
        <f t="shared" si="15"/>
        <v>0</v>
      </c>
      <c r="AC96" s="46">
        <v>0.1038</v>
      </c>
      <c r="AD96" s="74"/>
      <c r="AE96" s="74"/>
      <c r="AF96" s="74"/>
      <c r="AG96" s="57">
        <v>0.42</v>
      </c>
    </row>
    <row r="97" spans="1:33" hidden="1" x14ac:dyDescent="0.25">
      <c r="A97" s="44" t="s">
        <v>236</v>
      </c>
      <c r="B97" s="45" t="s">
        <v>71</v>
      </c>
      <c r="C97" s="45" t="s">
        <v>127</v>
      </c>
      <c r="D97" s="45" t="s">
        <v>128</v>
      </c>
      <c r="E97" s="45" t="s">
        <v>147</v>
      </c>
      <c r="F97" s="45" t="s">
        <v>148</v>
      </c>
      <c r="G97" s="45" t="s">
        <v>76</v>
      </c>
      <c r="H97" s="45" t="s">
        <v>77</v>
      </c>
      <c r="I97" s="45" t="s">
        <v>78</v>
      </c>
      <c r="J97" s="74" t="s">
        <v>79</v>
      </c>
      <c r="K97" s="44" t="s">
        <v>3</v>
      </c>
      <c r="L97" s="45" t="s">
        <v>125</v>
      </c>
      <c r="M97" s="74"/>
      <c r="N97" s="44" t="s">
        <v>126</v>
      </c>
      <c r="O97" s="45" t="s">
        <v>94</v>
      </c>
      <c r="P97" s="57">
        <v>0.23</v>
      </c>
      <c r="Q97" s="75"/>
      <c r="R97" s="74"/>
      <c r="S97" s="48">
        <v>12961.68</v>
      </c>
      <c r="T97" s="48"/>
      <c r="U97" s="48">
        <v>0</v>
      </c>
      <c r="V97" s="48">
        <f t="shared" si="12"/>
        <v>12961.68</v>
      </c>
      <c r="W97" s="50">
        <f t="shared" si="13"/>
        <v>0</v>
      </c>
      <c r="X97" s="48"/>
      <c r="Y97" s="50">
        <f t="shared" si="10"/>
        <v>0</v>
      </c>
      <c r="Z97" s="50">
        <f t="shared" si="11"/>
        <v>0</v>
      </c>
      <c r="AA97" s="48">
        <f t="shared" si="14"/>
        <v>0</v>
      </c>
      <c r="AB97" s="48">
        <f t="shared" si="15"/>
        <v>0</v>
      </c>
      <c r="AC97" s="46">
        <v>0.1038</v>
      </c>
      <c r="AD97" s="74"/>
      <c r="AE97" s="74"/>
      <c r="AF97" s="74"/>
      <c r="AG97" s="57">
        <v>0.42</v>
      </c>
    </row>
    <row r="98" spans="1:33" hidden="1" x14ac:dyDescent="0.25">
      <c r="A98" s="44" t="s">
        <v>236</v>
      </c>
      <c r="B98" s="45" t="s">
        <v>71</v>
      </c>
      <c r="C98" s="45" t="s">
        <v>127</v>
      </c>
      <c r="D98" s="45" t="s">
        <v>128</v>
      </c>
      <c r="E98" s="45" t="s">
        <v>149</v>
      </c>
      <c r="F98" s="45" t="s">
        <v>150</v>
      </c>
      <c r="G98" s="45" t="s">
        <v>76</v>
      </c>
      <c r="H98" s="45" t="s">
        <v>77</v>
      </c>
      <c r="I98" s="45" t="s">
        <v>78</v>
      </c>
      <c r="J98" s="74" t="s">
        <v>79</v>
      </c>
      <c r="K98" s="44" t="s">
        <v>3</v>
      </c>
      <c r="L98" s="45" t="s">
        <v>125</v>
      </c>
      <c r="M98" s="74"/>
      <c r="N98" s="44" t="s">
        <v>126</v>
      </c>
      <c r="O98" s="45" t="s">
        <v>94</v>
      </c>
      <c r="P98" s="57">
        <v>0.13</v>
      </c>
      <c r="Q98" s="75"/>
      <c r="R98" s="74"/>
      <c r="S98" s="48">
        <v>143.460985915328</v>
      </c>
      <c r="T98" s="48"/>
      <c r="U98" s="48">
        <v>0</v>
      </c>
      <c r="V98" s="48">
        <f t="shared" si="12"/>
        <v>143.460985915328</v>
      </c>
      <c r="W98" s="50">
        <f t="shared" si="13"/>
        <v>0</v>
      </c>
      <c r="X98" s="48"/>
      <c r="Y98" s="50">
        <f t="shared" si="10"/>
        <v>0</v>
      </c>
      <c r="Z98" s="50">
        <f t="shared" si="11"/>
        <v>0</v>
      </c>
      <c r="AA98" s="48">
        <f t="shared" si="14"/>
        <v>0</v>
      </c>
      <c r="AB98" s="48">
        <f t="shared" si="15"/>
        <v>0</v>
      </c>
      <c r="AC98" s="46">
        <v>0.1038</v>
      </c>
      <c r="AD98" s="74"/>
      <c r="AE98" s="74"/>
      <c r="AF98" s="74"/>
      <c r="AG98" s="57">
        <v>0.42</v>
      </c>
    </row>
    <row r="99" spans="1:33" hidden="1" x14ac:dyDescent="0.25">
      <c r="A99" s="44" t="s">
        <v>236</v>
      </c>
      <c r="B99" s="45" t="s">
        <v>71</v>
      </c>
      <c r="C99" s="45" t="s">
        <v>127</v>
      </c>
      <c r="D99" s="45" t="s">
        <v>128</v>
      </c>
      <c r="E99" s="45" t="s">
        <v>151</v>
      </c>
      <c r="F99" s="45" t="s">
        <v>152</v>
      </c>
      <c r="G99" s="45" t="s">
        <v>76</v>
      </c>
      <c r="H99" s="45" t="s">
        <v>77</v>
      </c>
      <c r="I99" s="45" t="s">
        <v>78</v>
      </c>
      <c r="J99" s="74" t="s">
        <v>79</v>
      </c>
      <c r="K99" s="44" t="s">
        <v>3</v>
      </c>
      <c r="L99" s="45" t="s">
        <v>125</v>
      </c>
      <c r="M99" s="74"/>
      <c r="N99" s="44" t="s">
        <v>126</v>
      </c>
      <c r="O99" s="45" t="s">
        <v>94</v>
      </c>
      <c r="P99" s="46">
        <v>0.23</v>
      </c>
      <c r="Q99" s="75"/>
      <c r="R99" s="74"/>
      <c r="S99" s="48">
        <v>2063.5353521120301</v>
      </c>
      <c r="T99" s="48"/>
      <c r="U99" s="48">
        <v>0</v>
      </c>
      <c r="V99" s="48">
        <f t="shared" si="12"/>
        <v>2063.5353521120301</v>
      </c>
      <c r="W99" s="50">
        <f t="shared" si="13"/>
        <v>0</v>
      </c>
      <c r="X99" s="48"/>
      <c r="Y99" s="50">
        <f t="shared" si="10"/>
        <v>0</v>
      </c>
      <c r="Z99" s="50">
        <f t="shared" si="11"/>
        <v>0</v>
      </c>
      <c r="AA99" s="48">
        <f t="shared" si="14"/>
        <v>0</v>
      </c>
      <c r="AB99" s="48">
        <f t="shared" si="15"/>
        <v>0</v>
      </c>
      <c r="AC99" s="46">
        <v>0.1038</v>
      </c>
      <c r="AD99" s="74"/>
      <c r="AE99" s="74"/>
      <c r="AF99" s="74"/>
      <c r="AG99" s="57">
        <v>0.42</v>
      </c>
    </row>
    <row r="100" spans="1:33" hidden="1" x14ac:dyDescent="0.25">
      <c r="A100" s="44" t="s">
        <v>236</v>
      </c>
      <c r="B100" s="45" t="s">
        <v>71</v>
      </c>
      <c r="C100" s="45" t="s">
        <v>127</v>
      </c>
      <c r="D100" s="45" t="s">
        <v>153</v>
      </c>
      <c r="E100" s="45" t="s">
        <v>154</v>
      </c>
      <c r="F100" s="45" t="s">
        <v>155</v>
      </c>
      <c r="G100" s="45" t="s">
        <v>76</v>
      </c>
      <c r="H100" s="45" t="s">
        <v>77</v>
      </c>
      <c r="I100" s="45" t="s">
        <v>78</v>
      </c>
      <c r="J100" s="74" t="s">
        <v>79</v>
      </c>
      <c r="K100" s="44" t="s">
        <v>3</v>
      </c>
      <c r="L100" s="45" t="s">
        <v>125</v>
      </c>
      <c r="M100" s="74"/>
      <c r="N100" s="44" t="s">
        <v>126</v>
      </c>
      <c r="O100" s="45" t="s">
        <v>94</v>
      </c>
      <c r="P100" s="57">
        <v>0.18</v>
      </c>
      <c r="Q100" s="75"/>
      <c r="R100" s="74"/>
      <c r="S100" s="48">
        <v>114142.344929578</v>
      </c>
      <c r="T100" s="48"/>
      <c r="U100" s="48">
        <v>0</v>
      </c>
      <c r="V100" s="48">
        <f t="shared" si="12"/>
        <v>114142.344929578</v>
      </c>
      <c r="W100" s="50">
        <f t="shared" si="13"/>
        <v>0</v>
      </c>
      <c r="X100" s="48"/>
      <c r="Y100" s="50">
        <f t="shared" si="10"/>
        <v>0</v>
      </c>
      <c r="Z100" s="50">
        <f t="shared" si="11"/>
        <v>0</v>
      </c>
      <c r="AA100" s="48">
        <f t="shared" si="14"/>
        <v>0</v>
      </c>
      <c r="AB100" s="48">
        <f t="shared" si="15"/>
        <v>0</v>
      </c>
      <c r="AC100" s="46">
        <v>0.1038</v>
      </c>
      <c r="AD100" s="74"/>
      <c r="AE100" s="74"/>
      <c r="AF100" s="74"/>
      <c r="AG100" s="57">
        <v>0.42</v>
      </c>
    </row>
    <row r="101" spans="1:33" hidden="1" x14ac:dyDescent="0.25">
      <c r="A101" s="44" t="s">
        <v>236</v>
      </c>
      <c r="B101" s="45" t="s">
        <v>71</v>
      </c>
      <c r="C101" s="45" t="s">
        <v>127</v>
      </c>
      <c r="D101" s="45" t="s">
        <v>153</v>
      </c>
      <c r="E101" s="45" t="s">
        <v>125</v>
      </c>
      <c r="F101" s="45" t="s">
        <v>156</v>
      </c>
      <c r="G101" s="45" t="s">
        <v>76</v>
      </c>
      <c r="H101" s="45" t="s">
        <v>77</v>
      </c>
      <c r="I101" s="45" t="s">
        <v>78</v>
      </c>
      <c r="J101" s="74" t="s">
        <v>79</v>
      </c>
      <c r="K101" s="44" t="s">
        <v>3</v>
      </c>
      <c r="L101" s="45" t="s">
        <v>125</v>
      </c>
      <c r="M101" s="74"/>
      <c r="N101" s="44" t="s">
        <v>126</v>
      </c>
      <c r="O101" s="45" t="s">
        <v>94</v>
      </c>
      <c r="P101" s="57">
        <v>0.08</v>
      </c>
      <c r="Q101" s="75"/>
      <c r="R101" s="74"/>
      <c r="S101" s="48">
        <v>29897.39</v>
      </c>
      <c r="T101" s="48"/>
      <c r="U101" s="48">
        <v>0</v>
      </c>
      <c r="V101" s="48">
        <f t="shared" si="12"/>
        <v>29897.39</v>
      </c>
      <c r="W101" s="50">
        <f t="shared" si="13"/>
        <v>0</v>
      </c>
      <c r="X101" s="48"/>
      <c r="Y101" s="50">
        <f t="shared" si="10"/>
        <v>0</v>
      </c>
      <c r="Z101" s="50">
        <f t="shared" si="11"/>
        <v>0</v>
      </c>
      <c r="AA101" s="48">
        <f t="shared" si="14"/>
        <v>0</v>
      </c>
      <c r="AB101" s="48">
        <f t="shared" si="15"/>
        <v>0</v>
      </c>
      <c r="AC101" s="46">
        <v>0.1038</v>
      </c>
      <c r="AD101" s="74"/>
      <c r="AE101" s="74"/>
      <c r="AF101" s="74"/>
      <c r="AG101" s="57">
        <v>0.42</v>
      </c>
    </row>
    <row r="102" spans="1:33" hidden="1" x14ac:dyDescent="0.25">
      <c r="A102" s="44" t="s">
        <v>236</v>
      </c>
      <c r="B102" s="45" t="s">
        <v>71</v>
      </c>
      <c r="C102" s="45" t="s">
        <v>127</v>
      </c>
      <c r="D102" s="45" t="s">
        <v>153</v>
      </c>
      <c r="E102" s="45" t="s">
        <v>157</v>
      </c>
      <c r="F102" s="45" t="s">
        <v>158</v>
      </c>
      <c r="G102" s="45" t="s">
        <v>76</v>
      </c>
      <c r="H102" s="45" t="s">
        <v>77</v>
      </c>
      <c r="I102" s="45" t="s">
        <v>78</v>
      </c>
      <c r="J102" s="74" t="s">
        <v>79</v>
      </c>
      <c r="K102" s="44" t="s">
        <v>3</v>
      </c>
      <c r="L102" s="45" t="s">
        <v>125</v>
      </c>
      <c r="M102" s="74"/>
      <c r="N102" s="44" t="s">
        <v>126</v>
      </c>
      <c r="O102" s="45" t="s">
        <v>94</v>
      </c>
      <c r="P102" s="57">
        <v>0.08</v>
      </c>
      <c r="Q102" s="75"/>
      <c r="R102" s="74"/>
      <c r="S102" s="48">
        <v>20014.111126760599</v>
      </c>
      <c r="T102" s="48"/>
      <c r="U102" s="48">
        <v>0</v>
      </c>
      <c r="V102" s="48">
        <f t="shared" si="12"/>
        <v>20014.111126760599</v>
      </c>
      <c r="W102" s="50">
        <f t="shared" si="13"/>
        <v>0</v>
      </c>
      <c r="X102" s="48"/>
      <c r="Y102" s="50">
        <f t="shared" si="10"/>
        <v>0</v>
      </c>
      <c r="Z102" s="50">
        <f t="shared" si="11"/>
        <v>0</v>
      </c>
      <c r="AA102" s="48">
        <f t="shared" si="14"/>
        <v>0</v>
      </c>
      <c r="AB102" s="48">
        <f t="shared" si="15"/>
        <v>0</v>
      </c>
      <c r="AC102" s="46">
        <v>0.1038</v>
      </c>
      <c r="AD102" s="74"/>
      <c r="AE102" s="74"/>
      <c r="AF102" s="74"/>
      <c r="AG102" s="57">
        <v>0.42</v>
      </c>
    </row>
    <row r="103" spans="1:33" hidden="1" x14ac:dyDescent="0.25">
      <c r="A103" s="44" t="s">
        <v>236</v>
      </c>
      <c r="B103" s="45" t="s">
        <v>71</v>
      </c>
      <c r="C103" s="45" t="s">
        <v>127</v>
      </c>
      <c r="D103" s="45" t="s">
        <v>153</v>
      </c>
      <c r="E103" s="45" t="s">
        <v>159</v>
      </c>
      <c r="F103" s="45" t="s">
        <v>160</v>
      </c>
      <c r="G103" s="45" t="s">
        <v>76</v>
      </c>
      <c r="H103" s="45" t="s">
        <v>77</v>
      </c>
      <c r="I103" s="45" t="s">
        <v>78</v>
      </c>
      <c r="J103" s="74" t="s">
        <v>79</v>
      </c>
      <c r="K103" s="44" t="s">
        <v>3</v>
      </c>
      <c r="L103" s="45" t="s">
        <v>125</v>
      </c>
      <c r="M103" s="74"/>
      <c r="N103" s="44" t="s">
        <v>126</v>
      </c>
      <c r="O103" s="45" t="s">
        <v>94</v>
      </c>
      <c r="P103" s="57">
        <v>0.04</v>
      </c>
      <c r="Q103" s="75"/>
      <c r="R103" s="74"/>
      <c r="S103" s="48">
        <v>322.47394365991897</v>
      </c>
      <c r="T103" s="48"/>
      <c r="U103" s="48">
        <v>0</v>
      </c>
      <c r="V103" s="48">
        <f t="shared" si="12"/>
        <v>322.47394365991897</v>
      </c>
      <c r="W103" s="50">
        <f t="shared" si="13"/>
        <v>0</v>
      </c>
      <c r="X103" s="48"/>
      <c r="Y103" s="50">
        <f t="shared" si="10"/>
        <v>0</v>
      </c>
      <c r="Z103" s="50">
        <f t="shared" si="11"/>
        <v>0</v>
      </c>
      <c r="AA103" s="48">
        <f t="shared" si="14"/>
        <v>0</v>
      </c>
      <c r="AB103" s="48">
        <f t="shared" si="15"/>
        <v>0</v>
      </c>
      <c r="AC103" s="46">
        <v>0.1038</v>
      </c>
      <c r="AD103" s="74"/>
      <c r="AE103" s="74"/>
      <c r="AF103" s="74"/>
      <c r="AG103" s="57">
        <v>0.42</v>
      </c>
    </row>
    <row r="104" spans="1:33" hidden="1" x14ac:dyDescent="0.25">
      <c r="A104" s="44" t="s">
        <v>236</v>
      </c>
      <c r="B104" s="45" t="s">
        <v>71</v>
      </c>
      <c r="C104" s="45" t="s">
        <v>127</v>
      </c>
      <c r="D104" s="45" t="s">
        <v>153</v>
      </c>
      <c r="E104" s="45" t="s">
        <v>161</v>
      </c>
      <c r="F104" s="45" t="s">
        <v>162</v>
      </c>
      <c r="G104" s="45" t="s">
        <v>76</v>
      </c>
      <c r="H104" s="45" t="s">
        <v>77</v>
      </c>
      <c r="I104" s="45" t="s">
        <v>78</v>
      </c>
      <c r="J104" s="74" t="s">
        <v>79</v>
      </c>
      <c r="K104" s="44" t="s">
        <v>3</v>
      </c>
      <c r="L104" s="45" t="s">
        <v>125</v>
      </c>
      <c r="M104" s="74"/>
      <c r="N104" s="44" t="s">
        <v>126</v>
      </c>
      <c r="O104" s="45" t="s">
        <v>94</v>
      </c>
      <c r="P104" s="57">
        <v>0.23</v>
      </c>
      <c r="Q104" s="75"/>
      <c r="R104" s="74"/>
      <c r="S104" s="48">
        <v>196.54507042269699</v>
      </c>
      <c r="T104" s="48"/>
      <c r="U104" s="48">
        <v>0</v>
      </c>
      <c r="V104" s="48">
        <f t="shared" si="12"/>
        <v>196.54507042269699</v>
      </c>
      <c r="W104" s="50">
        <f t="shared" si="13"/>
        <v>0</v>
      </c>
      <c r="X104" s="48"/>
      <c r="Y104" s="50">
        <f t="shared" si="10"/>
        <v>0</v>
      </c>
      <c r="Z104" s="50">
        <f t="shared" si="11"/>
        <v>0</v>
      </c>
      <c r="AA104" s="48">
        <f t="shared" si="14"/>
        <v>0</v>
      </c>
      <c r="AB104" s="48">
        <f t="shared" si="15"/>
        <v>0</v>
      </c>
      <c r="AC104" s="46">
        <v>0.1038</v>
      </c>
      <c r="AD104" s="74"/>
      <c r="AE104" s="74"/>
      <c r="AF104" s="74"/>
      <c r="AG104" s="57">
        <v>0.42</v>
      </c>
    </row>
    <row r="105" spans="1:33" hidden="1" x14ac:dyDescent="0.25">
      <c r="A105" s="44" t="s">
        <v>236</v>
      </c>
      <c r="B105" s="45" t="s">
        <v>71</v>
      </c>
      <c r="C105" s="45" t="s">
        <v>127</v>
      </c>
      <c r="D105" s="45" t="s">
        <v>153</v>
      </c>
      <c r="E105" s="45" t="s">
        <v>163</v>
      </c>
      <c r="F105" s="45" t="s">
        <v>164</v>
      </c>
      <c r="G105" s="45" t="s">
        <v>76</v>
      </c>
      <c r="H105" s="45" t="s">
        <v>77</v>
      </c>
      <c r="I105" s="45" t="s">
        <v>78</v>
      </c>
      <c r="J105" s="74" t="s">
        <v>79</v>
      </c>
      <c r="K105" s="44" t="s">
        <v>3</v>
      </c>
      <c r="L105" s="45" t="s">
        <v>125</v>
      </c>
      <c r="M105" s="74"/>
      <c r="N105" s="44" t="s">
        <v>126</v>
      </c>
      <c r="O105" s="45" t="s">
        <v>94</v>
      </c>
      <c r="P105" s="57">
        <v>0.03</v>
      </c>
      <c r="Q105" s="75"/>
      <c r="R105" s="74"/>
      <c r="S105" s="48">
        <v>1513.0032394366101</v>
      </c>
      <c r="T105" s="48"/>
      <c r="U105" s="48">
        <v>0</v>
      </c>
      <c r="V105" s="48">
        <f t="shared" si="12"/>
        <v>1513.0032394366101</v>
      </c>
      <c r="W105" s="50">
        <f t="shared" ref="W105:W121" si="16">U105*(1+AG105)/(1+AG105+P105)</f>
        <v>0</v>
      </c>
      <c r="X105" s="48"/>
      <c r="Y105" s="50">
        <f t="shared" si="10"/>
        <v>0</v>
      </c>
      <c r="Z105" s="50">
        <f t="shared" si="11"/>
        <v>0</v>
      </c>
      <c r="AA105" s="48">
        <f t="shared" ref="AA105:AA124" si="17">U105-W105</f>
        <v>0</v>
      </c>
      <c r="AB105" s="48">
        <f t="shared" ref="AB105:AB121" si="18">U105</f>
        <v>0</v>
      </c>
      <c r="AC105" s="46">
        <v>0.1038</v>
      </c>
      <c r="AD105" s="74"/>
      <c r="AE105" s="74"/>
      <c r="AF105" s="74"/>
      <c r="AG105" s="57">
        <v>0.42</v>
      </c>
    </row>
    <row r="106" spans="1:33" hidden="1" x14ac:dyDescent="0.25">
      <c r="A106" s="44" t="s">
        <v>236</v>
      </c>
      <c r="B106" s="45" t="s">
        <v>71</v>
      </c>
      <c r="C106" s="45" t="s">
        <v>127</v>
      </c>
      <c r="D106" s="45" t="s">
        <v>153</v>
      </c>
      <c r="E106" s="45" t="s">
        <v>165</v>
      </c>
      <c r="F106" s="45" t="s">
        <v>166</v>
      </c>
      <c r="G106" s="45" t="s">
        <v>76</v>
      </c>
      <c r="H106" s="45" t="s">
        <v>77</v>
      </c>
      <c r="I106" s="45" t="s">
        <v>78</v>
      </c>
      <c r="J106" s="74" t="s">
        <v>79</v>
      </c>
      <c r="K106" s="44" t="s">
        <v>3</v>
      </c>
      <c r="L106" s="45" t="s">
        <v>125</v>
      </c>
      <c r="M106" s="74"/>
      <c r="N106" s="44" t="s">
        <v>126</v>
      </c>
      <c r="O106" s="45" t="s">
        <v>94</v>
      </c>
      <c r="P106" s="57">
        <v>0.03</v>
      </c>
      <c r="Q106" s="75"/>
      <c r="R106" s="74"/>
      <c r="S106" s="48">
        <v>6504.6216901406997</v>
      </c>
      <c r="T106" s="48"/>
      <c r="U106" s="48">
        <v>0</v>
      </c>
      <c r="V106" s="48">
        <f t="shared" si="12"/>
        <v>6504.6216901406997</v>
      </c>
      <c r="W106" s="50">
        <f t="shared" si="16"/>
        <v>0</v>
      </c>
      <c r="X106" s="48"/>
      <c r="Y106" s="50">
        <f t="shared" si="10"/>
        <v>0</v>
      </c>
      <c r="Z106" s="50">
        <f t="shared" si="11"/>
        <v>0</v>
      </c>
      <c r="AA106" s="48">
        <f t="shared" si="17"/>
        <v>0</v>
      </c>
      <c r="AB106" s="48">
        <f t="shared" si="18"/>
        <v>0</v>
      </c>
      <c r="AC106" s="46">
        <v>0.1038</v>
      </c>
      <c r="AD106" s="74"/>
      <c r="AE106" s="74"/>
      <c r="AF106" s="74"/>
      <c r="AG106" s="57">
        <v>0</v>
      </c>
    </row>
    <row r="107" spans="1:33" hidden="1" x14ac:dyDescent="0.25">
      <c r="A107" s="44" t="s">
        <v>236</v>
      </c>
      <c r="B107" s="45" t="s">
        <v>71</v>
      </c>
      <c r="C107" s="45" t="s">
        <v>127</v>
      </c>
      <c r="D107" s="45" t="s">
        <v>153</v>
      </c>
      <c r="E107" s="45" t="s">
        <v>167</v>
      </c>
      <c r="F107" s="45" t="s">
        <v>168</v>
      </c>
      <c r="G107" s="45" t="s">
        <v>76</v>
      </c>
      <c r="H107" s="45" t="s">
        <v>77</v>
      </c>
      <c r="I107" s="45" t="s">
        <v>78</v>
      </c>
      <c r="J107" s="74" t="s">
        <v>79</v>
      </c>
      <c r="K107" s="44" t="s">
        <v>3</v>
      </c>
      <c r="L107" s="45" t="s">
        <v>125</v>
      </c>
      <c r="M107" s="74"/>
      <c r="N107" s="44" t="s">
        <v>126</v>
      </c>
      <c r="O107" s="45" t="s">
        <v>94</v>
      </c>
      <c r="P107" s="57">
        <v>0.18</v>
      </c>
      <c r="Q107" s="75"/>
      <c r="R107" s="74"/>
      <c r="S107" s="48">
        <v>44820.261970721403</v>
      </c>
      <c r="T107" s="48"/>
      <c r="U107" s="48">
        <v>0</v>
      </c>
      <c r="V107" s="48">
        <f t="shared" si="12"/>
        <v>44820.261970721403</v>
      </c>
      <c r="W107" s="50">
        <f t="shared" si="16"/>
        <v>0</v>
      </c>
      <c r="X107" s="48"/>
      <c r="Y107" s="50">
        <f t="shared" si="10"/>
        <v>0</v>
      </c>
      <c r="Z107" s="50">
        <f t="shared" si="11"/>
        <v>0</v>
      </c>
      <c r="AA107" s="48">
        <f t="shared" si="17"/>
        <v>0</v>
      </c>
      <c r="AB107" s="48">
        <f t="shared" si="18"/>
        <v>0</v>
      </c>
      <c r="AC107" s="46">
        <v>0.1038</v>
      </c>
      <c r="AD107" s="74"/>
      <c r="AE107" s="74"/>
      <c r="AF107" s="74"/>
      <c r="AG107" s="57">
        <v>0.42</v>
      </c>
    </row>
    <row r="108" spans="1:33" hidden="1" x14ac:dyDescent="0.25">
      <c r="A108" s="44" t="s">
        <v>236</v>
      </c>
      <c r="B108" s="45" t="s">
        <v>71</v>
      </c>
      <c r="C108" s="45" t="s">
        <v>127</v>
      </c>
      <c r="D108" s="45" t="s">
        <v>153</v>
      </c>
      <c r="E108" s="45" t="s">
        <v>169</v>
      </c>
      <c r="F108" s="45" t="s">
        <v>170</v>
      </c>
      <c r="G108" s="45" t="s">
        <v>76</v>
      </c>
      <c r="H108" s="45" t="s">
        <v>77</v>
      </c>
      <c r="I108" s="45" t="s">
        <v>78</v>
      </c>
      <c r="J108" s="74" t="s">
        <v>79</v>
      </c>
      <c r="K108" s="44" t="s">
        <v>3</v>
      </c>
      <c r="L108" s="45" t="s">
        <v>125</v>
      </c>
      <c r="M108" s="74"/>
      <c r="N108" s="44" t="s">
        <v>126</v>
      </c>
      <c r="O108" s="45" t="s">
        <v>94</v>
      </c>
      <c r="P108" s="57">
        <v>0.23</v>
      </c>
      <c r="Q108" s="75"/>
      <c r="R108" s="74"/>
      <c r="S108" s="48">
        <v>132154.611549297</v>
      </c>
      <c r="T108" s="48"/>
      <c r="U108" s="48">
        <v>0</v>
      </c>
      <c r="V108" s="48">
        <f t="shared" si="12"/>
        <v>132154.611549297</v>
      </c>
      <c r="W108" s="50">
        <f t="shared" si="16"/>
        <v>0</v>
      </c>
      <c r="X108" s="48"/>
      <c r="Y108" s="50">
        <f t="shared" si="10"/>
        <v>0</v>
      </c>
      <c r="Z108" s="50">
        <f t="shared" si="11"/>
        <v>0</v>
      </c>
      <c r="AA108" s="48">
        <f t="shared" si="17"/>
        <v>0</v>
      </c>
      <c r="AB108" s="48">
        <f t="shared" si="18"/>
        <v>0</v>
      </c>
      <c r="AC108" s="46">
        <v>0.1038</v>
      </c>
      <c r="AD108" s="74"/>
      <c r="AE108" s="74"/>
      <c r="AF108" s="74"/>
      <c r="AG108" s="57">
        <v>0.42</v>
      </c>
    </row>
    <row r="109" spans="1:33" hidden="1" x14ac:dyDescent="0.25">
      <c r="A109" s="44" t="s">
        <v>236</v>
      </c>
      <c r="B109" s="45" t="s">
        <v>71</v>
      </c>
      <c r="C109" s="45" t="s">
        <v>127</v>
      </c>
      <c r="D109" s="45" t="s">
        <v>153</v>
      </c>
      <c r="E109" s="45" t="s">
        <v>171</v>
      </c>
      <c r="F109" s="45" t="s">
        <v>172</v>
      </c>
      <c r="G109" s="45" t="s">
        <v>76</v>
      </c>
      <c r="H109" s="45" t="s">
        <v>77</v>
      </c>
      <c r="I109" s="45" t="s">
        <v>78</v>
      </c>
      <c r="J109" s="74" t="s">
        <v>79</v>
      </c>
      <c r="K109" s="44" t="s">
        <v>3</v>
      </c>
      <c r="L109" s="45" t="s">
        <v>125</v>
      </c>
      <c r="M109" s="74"/>
      <c r="N109" s="44" t="s">
        <v>126</v>
      </c>
      <c r="O109" s="45" t="s">
        <v>94</v>
      </c>
      <c r="P109" s="57">
        <v>0.03</v>
      </c>
      <c r="Q109" s="75"/>
      <c r="R109" s="74"/>
      <c r="S109" s="48">
        <v>14157.309295774699</v>
      </c>
      <c r="T109" s="48"/>
      <c r="U109" s="48">
        <v>0</v>
      </c>
      <c r="V109" s="48">
        <f t="shared" si="12"/>
        <v>14157.309295774699</v>
      </c>
      <c r="W109" s="50">
        <f t="shared" si="16"/>
        <v>0</v>
      </c>
      <c r="X109" s="48"/>
      <c r="Y109" s="50">
        <f t="shared" si="10"/>
        <v>0</v>
      </c>
      <c r="Z109" s="50">
        <f t="shared" si="11"/>
        <v>0</v>
      </c>
      <c r="AA109" s="48">
        <f t="shared" si="17"/>
        <v>0</v>
      </c>
      <c r="AB109" s="48">
        <f t="shared" si="18"/>
        <v>0</v>
      </c>
      <c r="AC109" s="46">
        <v>0.1038</v>
      </c>
      <c r="AD109" s="74"/>
      <c r="AE109" s="74"/>
      <c r="AF109" s="74"/>
      <c r="AG109" s="57">
        <v>0.42</v>
      </c>
    </row>
    <row r="110" spans="1:33" hidden="1" x14ac:dyDescent="0.25">
      <c r="A110" s="44" t="s">
        <v>236</v>
      </c>
      <c r="B110" s="45" t="s">
        <v>71</v>
      </c>
      <c r="C110" s="45" t="s">
        <v>127</v>
      </c>
      <c r="D110" s="45" t="s">
        <v>153</v>
      </c>
      <c r="E110" s="45" t="s">
        <v>173</v>
      </c>
      <c r="F110" s="45" t="s">
        <v>174</v>
      </c>
      <c r="G110" s="45" t="s">
        <v>76</v>
      </c>
      <c r="H110" s="45" t="s">
        <v>77</v>
      </c>
      <c r="I110" s="45" t="s">
        <v>78</v>
      </c>
      <c r="J110" s="74" t="s">
        <v>79</v>
      </c>
      <c r="K110" s="44" t="s">
        <v>3</v>
      </c>
      <c r="L110" s="45" t="s">
        <v>125</v>
      </c>
      <c r="M110" s="74"/>
      <c r="N110" s="44" t="s">
        <v>126</v>
      </c>
      <c r="O110" s="45" t="s">
        <v>94</v>
      </c>
      <c r="P110" s="57">
        <v>0.03</v>
      </c>
      <c r="Q110" s="75"/>
      <c r="R110" s="74"/>
      <c r="S110" s="48">
        <v>480.55873239384499</v>
      </c>
      <c r="T110" s="48"/>
      <c r="U110" s="48">
        <v>0</v>
      </c>
      <c r="V110" s="48">
        <f t="shared" si="12"/>
        <v>480.55873239384499</v>
      </c>
      <c r="W110" s="50">
        <f t="shared" si="16"/>
        <v>0</v>
      </c>
      <c r="X110" s="48"/>
      <c r="Y110" s="50">
        <f t="shared" si="10"/>
        <v>0</v>
      </c>
      <c r="Z110" s="50">
        <f t="shared" si="11"/>
        <v>0</v>
      </c>
      <c r="AA110" s="48">
        <f t="shared" si="17"/>
        <v>0</v>
      </c>
      <c r="AB110" s="48">
        <f t="shared" si="18"/>
        <v>0</v>
      </c>
      <c r="AC110" s="46">
        <v>0.1038</v>
      </c>
      <c r="AD110" s="74"/>
      <c r="AE110" s="74"/>
      <c r="AF110" s="74"/>
      <c r="AG110" s="57" t="s">
        <v>137</v>
      </c>
    </row>
    <row r="111" spans="1:33" hidden="1" x14ac:dyDescent="0.25">
      <c r="A111" s="44" t="s">
        <v>236</v>
      </c>
      <c r="B111" s="45" t="s">
        <v>71</v>
      </c>
      <c r="C111" s="45" t="s">
        <v>127</v>
      </c>
      <c r="D111" s="45" t="s">
        <v>153</v>
      </c>
      <c r="E111" s="45" t="s">
        <v>175</v>
      </c>
      <c r="F111" s="45" t="s">
        <v>176</v>
      </c>
      <c r="G111" s="45" t="s">
        <v>76</v>
      </c>
      <c r="H111" s="45" t="s">
        <v>77</v>
      </c>
      <c r="I111" s="45" t="s">
        <v>78</v>
      </c>
      <c r="J111" s="74" t="s">
        <v>79</v>
      </c>
      <c r="K111" s="44" t="s">
        <v>3</v>
      </c>
      <c r="L111" s="45" t="s">
        <v>125</v>
      </c>
      <c r="M111" s="74"/>
      <c r="N111" s="44" t="s">
        <v>126</v>
      </c>
      <c r="O111" s="45" t="s">
        <v>94</v>
      </c>
      <c r="P111" s="57">
        <v>0.23</v>
      </c>
      <c r="Q111" s="75"/>
      <c r="R111" s="74"/>
      <c r="S111" s="48">
        <v>88.72</v>
      </c>
      <c r="T111" s="48"/>
      <c r="U111" s="48">
        <v>0</v>
      </c>
      <c r="V111" s="48">
        <f t="shared" si="12"/>
        <v>88.72</v>
      </c>
      <c r="W111" s="50">
        <f t="shared" si="16"/>
        <v>0</v>
      </c>
      <c r="X111" s="48"/>
      <c r="Y111" s="50">
        <f t="shared" si="10"/>
        <v>0</v>
      </c>
      <c r="Z111" s="50">
        <f t="shared" si="11"/>
        <v>0</v>
      </c>
      <c r="AA111" s="48">
        <f t="shared" si="17"/>
        <v>0</v>
      </c>
      <c r="AB111" s="48">
        <f t="shared" si="18"/>
        <v>0</v>
      </c>
      <c r="AC111" s="46">
        <v>0.1038</v>
      </c>
      <c r="AD111" s="74"/>
      <c r="AE111" s="74"/>
      <c r="AF111" s="74"/>
      <c r="AG111" s="57">
        <v>0.42</v>
      </c>
    </row>
    <row r="112" spans="1:33" hidden="1" x14ac:dyDescent="0.25">
      <c r="A112" s="44" t="s">
        <v>236</v>
      </c>
      <c r="B112" s="45" t="s">
        <v>71</v>
      </c>
      <c r="C112" s="45" t="s">
        <v>127</v>
      </c>
      <c r="D112" s="45" t="s">
        <v>153</v>
      </c>
      <c r="E112" s="45" t="s">
        <v>177</v>
      </c>
      <c r="F112" s="45" t="s">
        <v>178</v>
      </c>
      <c r="G112" s="45" t="s">
        <v>76</v>
      </c>
      <c r="H112" s="45" t="s">
        <v>77</v>
      </c>
      <c r="I112" s="45" t="s">
        <v>78</v>
      </c>
      <c r="J112" s="74" t="s">
        <v>79</v>
      </c>
      <c r="K112" s="44" t="s">
        <v>3</v>
      </c>
      <c r="L112" s="45" t="s">
        <v>125</v>
      </c>
      <c r="M112" s="74"/>
      <c r="N112" s="44" t="s">
        <v>126</v>
      </c>
      <c r="O112" s="45" t="s">
        <v>94</v>
      </c>
      <c r="P112" s="57">
        <v>0.18</v>
      </c>
      <c r="Q112" s="75"/>
      <c r="R112" s="74"/>
      <c r="S112" s="48">
        <v>147.29985915508601</v>
      </c>
      <c r="T112" s="48"/>
      <c r="U112" s="48">
        <v>0</v>
      </c>
      <c r="V112" s="48">
        <f t="shared" si="12"/>
        <v>147.29985915508601</v>
      </c>
      <c r="W112" s="50">
        <f t="shared" si="16"/>
        <v>0</v>
      </c>
      <c r="X112" s="48"/>
      <c r="Y112" s="50">
        <f t="shared" si="10"/>
        <v>0</v>
      </c>
      <c r="Z112" s="50">
        <f t="shared" si="11"/>
        <v>0</v>
      </c>
      <c r="AA112" s="48">
        <f t="shared" si="17"/>
        <v>0</v>
      </c>
      <c r="AB112" s="48">
        <f t="shared" si="18"/>
        <v>0</v>
      </c>
      <c r="AC112" s="46">
        <v>0.1038</v>
      </c>
      <c r="AD112" s="74"/>
      <c r="AE112" s="74"/>
      <c r="AF112" s="74"/>
      <c r="AG112" s="57">
        <v>0.42</v>
      </c>
    </row>
    <row r="113" spans="1:33" hidden="1" x14ac:dyDescent="0.25">
      <c r="A113" s="44" t="s">
        <v>236</v>
      </c>
      <c r="B113" s="45" t="s">
        <v>71</v>
      </c>
      <c r="C113" s="45" t="s">
        <v>127</v>
      </c>
      <c r="D113" s="45" t="s">
        <v>153</v>
      </c>
      <c r="E113" s="45" t="s">
        <v>179</v>
      </c>
      <c r="F113" s="45" t="s">
        <v>180</v>
      </c>
      <c r="G113" s="45" t="s">
        <v>76</v>
      </c>
      <c r="H113" s="45" t="s">
        <v>77</v>
      </c>
      <c r="I113" s="45" t="s">
        <v>78</v>
      </c>
      <c r="J113" s="74" t="s">
        <v>79</v>
      </c>
      <c r="K113" s="44" t="s">
        <v>3</v>
      </c>
      <c r="L113" s="45" t="s">
        <v>125</v>
      </c>
      <c r="M113" s="74"/>
      <c r="N113" s="44" t="s">
        <v>126</v>
      </c>
      <c r="O113" s="45" t="s">
        <v>94</v>
      </c>
      <c r="P113" s="57">
        <v>0.18</v>
      </c>
      <c r="Q113" s="75"/>
      <c r="R113" s="74"/>
      <c r="S113" s="48">
        <v>4215.2245070423196</v>
      </c>
      <c r="T113" s="48"/>
      <c r="U113" s="48">
        <v>0</v>
      </c>
      <c r="V113" s="48">
        <f t="shared" si="12"/>
        <v>4215.2245070423196</v>
      </c>
      <c r="W113" s="50">
        <f t="shared" si="16"/>
        <v>0</v>
      </c>
      <c r="X113" s="48"/>
      <c r="Y113" s="50">
        <f t="shared" si="10"/>
        <v>0</v>
      </c>
      <c r="Z113" s="50">
        <f t="shared" si="11"/>
        <v>0</v>
      </c>
      <c r="AA113" s="48">
        <f t="shared" si="17"/>
        <v>0</v>
      </c>
      <c r="AB113" s="48">
        <f t="shared" si="18"/>
        <v>0</v>
      </c>
      <c r="AC113" s="46">
        <v>0.1038</v>
      </c>
      <c r="AD113" s="74"/>
      <c r="AE113" s="74"/>
      <c r="AF113" s="74"/>
      <c r="AG113" s="57">
        <v>0.42</v>
      </c>
    </row>
    <row r="114" spans="1:33" hidden="1" x14ac:dyDescent="0.25">
      <c r="A114" s="44" t="s">
        <v>236</v>
      </c>
      <c r="B114" s="45" t="s">
        <v>71</v>
      </c>
      <c r="C114" s="45" t="s">
        <v>127</v>
      </c>
      <c r="D114" s="45" t="s">
        <v>153</v>
      </c>
      <c r="E114" s="45" t="s">
        <v>181</v>
      </c>
      <c r="F114" s="45" t="s">
        <v>182</v>
      </c>
      <c r="G114" s="45" t="s">
        <v>76</v>
      </c>
      <c r="H114" s="45" t="s">
        <v>77</v>
      </c>
      <c r="I114" s="45" t="s">
        <v>78</v>
      </c>
      <c r="J114" s="74" t="s">
        <v>79</v>
      </c>
      <c r="K114" s="44" t="s">
        <v>3</v>
      </c>
      <c r="L114" s="45" t="s">
        <v>125</v>
      </c>
      <c r="M114" s="74"/>
      <c r="N114" s="44" t="s">
        <v>126</v>
      </c>
      <c r="O114" s="45" t="s">
        <v>94</v>
      </c>
      <c r="P114" s="57">
        <v>0.23</v>
      </c>
      <c r="Q114" s="75"/>
      <c r="R114" s="74"/>
      <c r="S114" s="48">
        <v>127.3395774647</v>
      </c>
      <c r="T114" s="48"/>
      <c r="U114" s="48">
        <v>0</v>
      </c>
      <c r="V114" s="48">
        <f t="shared" si="12"/>
        <v>127.3395774647</v>
      </c>
      <c r="W114" s="50">
        <f t="shared" si="16"/>
        <v>0</v>
      </c>
      <c r="X114" s="48"/>
      <c r="Y114" s="50">
        <f t="shared" si="10"/>
        <v>0</v>
      </c>
      <c r="Z114" s="50">
        <f t="shared" si="11"/>
        <v>0</v>
      </c>
      <c r="AA114" s="48">
        <f t="shared" si="17"/>
        <v>0</v>
      </c>
      <c r="AB114" s="48">
        <f t="shared" si="18"/>
        <v>0</v>
      </c>
      <c r="AC114" s="46">
        <v>0.1038</v>
      </c>
      <c r="AD114" s="74"/>
      <c r="AE114" s="74"/>
      <c r="AF114" s="74"/>
      <c r="AG114" s="57">
        <v>0.42</v>
      </c>
    </row>
    <row r="115" spans="1:33" hidden="1" x14ac:dyDescent="0.25">
      <c r="A115" s="44" t="s">
        <v>236</v>
      </c>
      <c r="B115" s="45" t="s">
        <v>71</v>
      </c>
      <c r="C115" s="45" t="s">
        <v>127</v>
      </c>
      <c r="D115" s="45" t="s">
        <v>153</v>
      </c>
      <c r="E115" s="45" t="s">
        <v>183</v>
      </c>
      <c r="F115" s="45" t="s">
        <v>184</v>
      </c>
      <c r="G115" s="45" t="s">
        <v>76</v>
      </c>
      <c r="H115" s="45" t="s">
        <v>77</v>
      </c>
      <c r="I115" s="45" t="s">
        <v>78</v>
      </c>
      <c r="J115" s="74" t="s">
        <v>79</v>
      </c>
      <c r="K115" s="44" t="s">
        <v>3</v>
      </c>
      <c r="L115" s="45" t="s">
        <v>125</v>
      </c>
      <c r="M115" s="74"/>
      <c r="N115" s="44" t="s">
        <v>126</v>
      </c>
      <c r="O115" s="45" t="s">
        <v>94</v>
      </c>
      <c r="P115" s="57">
        <v>0.23</v>
      </c>
      <c r="Q115" s="75"/>
      <c r="R115" s="74"/>
      <c r="S115" s="48">
        <v>172.66352112698999</v>
      </c>
      <c r="T115" s="48"/>
      <c r="U115" s="48">
        <v>0</v>
      </c>
      <c r="V115" s="48">
        <f t="shared" si="12"/>
        <v>172.66352112698999</v>
      </c>
      <c r="W115" s="50">
        <f t="shared" si="16"/>
        <v>0</v>
      </c>
      <c r="X115" s="48"/>
      <c r="Y115" s="50">
        <f t="shared" si="10"/>
        <v>0</v>
      </c>
      <c r="Z115" s="50">
        <f t="shared" si="11"/>
        <v>0</v>
      </c>
      <c r="AA115" s="48">
        <f t="shared" si="17"/>
        <v>0</v>
      </c>
      <c r="AB115" s="48">
        <f t="shared" si="18"/>
        <v>0</v>
      </c>
      <c r="AC115" s="46">
        <v>0.1038</v>
      </c>
      <c r="AD115" s="74"/>
      <c r="AE115" s="74"/>
      <c r="AF115" s="74"/>
      <c r="AG115" s="57">
        <v>0.42</v>
      </c>
    </row>
    <row r="116" spans="1:33" hidden="1" x14ac:dyDescent="0.25">
      <c r="A116" s="44" t="s">
        <v>236</v>
      </c>
      <c r="B116" s="45" t="s">
        <v>71</v>
      </c>
      <c r="C116" s="45" t="s">
        <v>127</v>
      </c>
      <c r="D116" s="45" t="s">
        <v>153</v>
      </c>
      <c r="E116" s="45" t="s">
        <v>185</v>
      </c>
      <c r="F116" s="45" t="s">
        <v>186</v>
      </c>
      <c r="G116" s="45" t="s">
        <v>76</v>
      </c>
      <c r="H116" s="45" t="s">
        <v>77</v>
      </c>
      <c r="I116" s="45" t="s">
        <v>78</v>
      </c>
      <c r="J116" s="74" t="s">
        <v>79</v>
      </c>
      <c r="K116" s="44" t="s">
        <v>3</v>
      </c>
      <c r="L116" s="45" t="s">
        <v>125</v>
      </c>
      <c r="M116" s="74"/>
      <c r="N116" s="44" t="s">
        <v>126</v>
      </c>
      <c r="O116" s="45" t="s">
        <v>94</v>
      </c>
      <c r="P116" s="57">
        <v>0.08</v>
      </c>
      <c r="Q116" s="75"/>
      <c r="R116" s="74"/>
      <c r="S116" s="48">
        <v>11055.15</v>
      </c>
      <c r="T116" s="48"/>
      <c r="U116" s="48">
        <v>0</v>
      </c>
      <c r="V116" s="48">
        <f t="shared" si="12"/>
        <v>11055.15</v>
      </c>
      <c r="W116" s="50">
        <f t="shared" si="16"/>
        <v>0</v>
      </c>
      <c r="X116" s="48"/>
      <c r="Y116" s="50">
        <f t="shared" si="10"/>
        <v>0</v>
      </c>
      <c r="Z116" s="50">
        <f t="shared" si="11"/>
        <v>0</v>
      </c>
      <c r="AA116" s="48">
        <f t="shared" si="17"/>
        <v>0</v>
      </c>
      <c r="AB116" s="48">
        <f t="shared" si="18"/>
        <v>0</v>
      </c>
      <c r="AC116" s="46">
        <v>0.1038</v>
      </c>
      <c r="AD116" s="74"/>
      <c r="AE116" s="74"/>
      <c r="AF116" s="74"/>
      <c r="AG116" s="57">
        <v>0.42</v>
      </c>
    </row>
    <row r="117" spans="1:33" hidden="1" x14ac:dyDescent="0.25">
      <c r="A117" s="44" t="s">
        <v>236</v>
      </c>
      <c r="B117" s="45" t="s">
        <v>3</v>
      </c>
      <c r="C117" s="45" t="s">
        <v>72</v>
      </c>
      <c r="D117" s="45" t="s">
        <v>187</v>
      </c>
      <c r="E117" s="45" t="s">
        <v>188</v>
      </c>
      <c r="F117" s="45" t="s">
        <v>188</v>
      </c>
      <c r="G117" s="45" t="s">
        <v>188</v>
      </c>
      <c r="H117" s="45" t="s">
        <v>77</v>
      </c>
      <c r="I117" s="45" t="s">
        <v>78</v>
      </c>
      <c r="J117" s="74" t="s">
        <v>79</v>
      </c>
      <c r="K117" s="44" t="s">
        <v>3</v>
      </c>
      <c r="L117" s="45" t="s">
        <v>188</v>
      </c>
      <c r="M117" s="74"/>
      <c r="N117" s="44" t="s">
        <v>126</v>
      </c>
      <c r="O117" s="45" t="s">
        <v>94</v>
      </c>
      <c r="P117" s="57">
        <v>0.05</v>
      </c>
      <c r="Q117" s="75"/>
      <c r="R117" s="74"/>
      <c r="S117" s="48">
        <v>15503.97</v>
      </c>
      <c r="T117" s="48"/>
      <c r="U117" s="48">
        <v>0</v>
      </c>
      <c r="V117" s="48">
        <f t="shared" si="12"/>
        <v>15503.97</v>
      </c>
      <c r="W117" s="50">
        <f t="shared" si="16"/>
        <v>0</v>
      </c>
      <c r="X117" s="48"/>
      <c r="Y117" s="50">
        <f t="shared" si="10"/>
        <v>0</v>
      </c>
      <c r="Z117" s="50">
        <f t="shared" si="11"/>
        <v>0</v>
      </c>
      <c r="AA117" s="48">
        <f t="shared" si="17"/>
        <v>0</v>
      </c>
      <c r="AB117" s="48">
        <f t="shared" si="18"/>
        <v>0</v>
      </c>
      <c r="AC117" s="46">
        <v>0.1038</v>
      </c>
      <c r="AD117" s="74"/>
      <c r="AE117" s="74"/>
      <c r="AF117" s="74"/>
      <c r="AG117" s="57">
        <v>0.36</v>
      </c>
    </row>
    <row r="118" spans="1:33" hidden="1" x14ac:dyDescent="0.25">
      <c r="A118" s="44" t="s">
        <v>236</v>
      </c>
      <c r="B118" s="45" t="s">
        <v>71</v>
      </c>
      <c r="C118" s="45" t="s">
        <v>90</v>
      </c>
      <c r="D118" s="45" t="s">
        <v>114</v>
      </c>
      <c r="E118" s="45" t="s">
        <v>189</v>
      </c>
      <c r="F118" s="45" t="s">
        <v>190</v>
      </c>
      <c r="G118" s="45" t="s">
        <v>76</v>
      </c>
      <c r="H118" s="45" t="s">
        <v>77</v>
      </c>
      <c r="I118" s="45" t="s">
        <v>78</v>
      </c>
      <c r="J118" s="74" t="s">
        <v>79</v>
      </c>
      <c r="K118" s="44" t="s">
        <v>3</v>
      </c>
      <c r="L118" s="45" t="s">
        <v>189</v>
      </c>
      <c r="M118" s="74"/>
      <c r="N118" s="44" t="s">
        <v>80</v>
      </c>
      <c r="O118" s="45" t="s">
        <v>81</v>
      </c>
      <c r="P118" s="57">
        <v>0</v>
      </c>
      <c r="Q118" s="75"/>
      <c r="R118" s="74"/>
      <c r="S118" s="48">
        <v>7458.79</v>
      </c>
      <c r="T118" s="48"/>
      <c r="U118" s="48">
        <v>7458.79</v>
      </c>
      <c r="V118" s="48">
        <f t="shared" si="12"/>
        <v>0</v>
      </c>
      <c r="W118" s="50">
        <f t="shared" si="16"/>
        <v>7458.79</v>
      </c>
      <c r="X118" s="48"/>
      <c r="Y118" s="50">
        <f t="shared" si="10"/>
        <v>0</v>
      </c>
      <c r="Z118" s="50">
        <f t="shared" si="11"/>
        <v>7458.79</v>
      </c>
      <c r="AA118" s="48">
        <f t="shared" si="17"/>
        <v>0</v>
      </c>
      <c r="AB118" s="48">
        <f t="shared" si="18"/>
        <v>7458.79</v>
      </c>
      <c r="AC118" s="46">
        <v>8.3699999999999997E-2</v>
      </c>
      <c r="AD118" s="74"/>
      <c r="AE118" s="74"/>
      <c r="AF118" s="74"/>
      <c r="AG118" s="57">
        <v>0</v>
      </c>
    </row>
    <row r="119" spans="1:33" hidden="1" x14ac:dyDescent="0.25">
      <c r="A119" s="44" t="s">
        <v>236</v>
      </c>
      <c r="B119" s="45" t="s">
        <v>3</v>
      </c>
      <c r="C119" s="45" t="s">
        <v>95</v>
      </c>
      <c r="D119" s="45" t="s">
        <v>96</v>
      </c>
      <c r="E119" s="45" t="s">
        <v>191</v>
      </c>
      <c r="F119" s="45" t="s">
        <v>191</v>
      </c>
      <c r="G119" s="45" t="s">
        <v>191</v>
      </c>
      <c r="H119" s="45" t="s">
        <v>77</v>
      </c>
      <c r="I119" s="45" t="s">
        <v>78</v>
      </c>
      <c r="J119" s="74" t="s">
        <v>79</v>
      </c>
      <c r="K119" s="44" t="s">
        <v>3</v>
      </c>
      <c r="L119" s="45" t="s">
        <v>192</v>
      </c>
      <c r="M119" s="74"/>
      <c r="N119" s="44" t="s">
        <v>86</v>
      </c>
      <c r="O119" s="45" t="s">
        <v>81</v>
      </c>
      <c r="P119" s="57">
        <v>0</v>
      </c>
      <c r="Q119" s="75"/>
      <c r="R119" s="74"/>
      <c r="S119" s="48">
        <v>6379.42</v>
      </c>
      <c r="T119" s="48"/>
      <c r="U119" s="48">
        <v>0</v>
      </c>
      <c r="V119" s="48">
        <f t="shared" si="12"/>
        <v>6379.42</v>
      </c>
      <c r="W119" s="50">
        <f t="shared" si="16"/>
        <v>0</v>
      </c>
      <c r="X119" s="48"/>
      <c r="Y119" s="50">
        <f t="shared" si="10"/>
        <v>0</v>
      </c>
      <c r="Z119" s="50">
        <f t="shared" si="11"/>
        <v>0</v>
      </c>
      <c r="AA119" s="48">
        <f t="shared" si="17"/>
        <v>0</v>
      </c>
      <c r="AB119" s="48">
        <f t="shared" si="18"/>
        <v>0</v>
      </c>
      <c r="AC119" s="46">
        <v>8.3699999999999997E-2</v>
      </c>
      <c r="AD119" s="74"/>
      <c r="AE119" s="74"/>
      <c r="AF119" s="74"/>
      <c r="AG119" s="57">
        <v>0.11</v>
      </c>
    </row>
    <row r="120" spans="1:33" hidden="1" x14ac:dyDescent="0.25">
      <c r="A120" s="44" t="s">
        <v>236</v>
      </c>
      <c r="B120" s="45" t="s">
        <v>71</v>
      </c>
      <c r="C120" s="45" t="s">
        <v>193</v>
      </c>
      <c r="D120" s="45" t="s">
        <v>194</v>
      </c>
      <c r="E120" s="45" t="s">
        <v>195</v>
      </c>
      <c r="F120" s="45" t="s">
        <v>196</v>
      </c>
      <c r="G120" s="45" t="s">
        <v>76</v>
      </c>
      <c r="H120" s="45" t="s">
        <v>77</v>
      </c>
      <c r="I120" s="45" t="s">
        <v>78</v>
      </c>
      <c r="J120" s="74" t="s">
        <v>79</v>
      </c>
      <c r="K120" s="44" t="s">
        <v>3</v>
      </c>
      <c r="L120" s="45" t="s">
        <v>197</v>
      </c>
      <c r="M120" s="74"/>
      <c r="N120" s="44" t="s">
        <v>80</v>
      </c>
      <c r="O120" s="45" t="s">
        <v>81</v>
      </c>
      <c r="P120" s="57">
        <v>0</v>
      </c>
      <c r="Q120" s="75"/>
      <c r="R120" s="74"/>
      <c r="S120" s="48">
        <v>2956.69</v>
      </c>
      <c r="T120" s="48"/>
      <c r="U120" s="48">
        <v>0</v>
      </c>
      <c r="V120" s="48">
        <f t="shared" si="12"/>
        <v>2956.69</v>
      </c>
      <c r="W120" s="50">
        <f t="shared" si="16"/>
        <v>0</v>
      </c>
      <c r="X120" s="48"/>
      <c r="Y120" s="50">
        <f t="shared" si="10"/>
        <v>0</v>
      </c>
      <c r="Z120" s="50">
        <f t="shared" si="11"/>
        <v>0</v>
      </c>
      <c r="AA120" s="48">
        <f t="shared" si="17"/>
        <v>0</v>
      </c>
      <c r="AB120" s="48">
        <f t="shared" si="18"/>
        <v>0</v>
      </c>
      <c r="AC120" s="46">
        <v>8.3699999999999997E-2</v>
      </c>
      <c r="AD120" s="74"/>
      <c r="AE120" s="74"/>
      <c r="AF120" s="74"/>
      <c r="AG120" s="57">
        <v>0.42</v>
      </c>
    </row>
    <row r="121" spans="1:33" hidden="1" x14ac:dyDescent="0.25">
      <c r="A121" s="44" t="s">
        <v>236</v>
      </c>
      <c r="B121" s="45" t="s">
        <v>3</v>
      </c>
      <c r="C121" s="74" t="s">
        <v>95</v>
      </c>
      <c r="D121" s="74" t="s">
        <v>96</v>
      </c>
      <c r="E121" s="74" t="s">
        <v>198</v>
      </c>
      <c r="F121" s="74" t="s">
        <v>238</v>
      </c>
      <c r="G121" s="74" t="s">
        <v>198</v>
      </c>
      <c r="H121" s="74" t="s">
        <v>77</v>
      </c>
      <c r="I121" s="45" t="s">
        <v>78</v>
      </c>
      <c r="J121" s="74" t="s">
        <v>79</v>
      </c>
      <c r="K121" s="44" t="s">
        <v>3</v>
      </c>
      <c r="L121" s="74" t="s">
        <v>198</v>
      </c>
      <c r="M121" s="74"/>
      <c r="N121" s="74" t="s">
        <v>86</v>
      </c>
      <c r="O121" s="74" t="s">
        <v>94</v>
      </c>
      <c r="P121" s="57">
        <v>0</v>
      </c>
      <c r="Q121" s="75"/>
      <c r="R121" s="74"/>
      <c r="S121" s="48">
        <v>20.87</v>
      </c>
      <c r="T121" s="48"/>
      <c r="U121" s="48">
        <v>20.87</v>
      </c>
      <c r="V121" s="48">
        <f t="shared" si="12"/>
        <v>0</v>
      </c>
      <c r="W121" s="50">
        <f t="shared" si="16"/>
        <v>20.87</v>
      </c>
      <c r="X121" s="48"/>
      <c r="Y121" s="50">
        <f t="shared" si="10"/>
        <v>0</v>
      </c>
      <c r="Z121" s="50">
        <f t="shared" si="11"/>
        <v>20.87</v>
      </c>
      <c r="AA121" s="48">
        <f t="shared" si="17"/>
        <v>0</v>
      </c>
      <c r="AB121" s="48">
        <f t="shared" si="18"/>
        <v>20.87</v>
      </c>
      <c r="AC121" s="46">
        <v>8.3699999999999997E-2</v>
      </c>
      <c r="AD121" s="74"/>
      <c r="AE121" s="74"/>
      <c r="AF121" s="74"/>
      <c r="AG121" s="57">
        <v>0.09</v>
      </c>
    </row>
    <row r="122" spans="1:33" hidden="1" x14ac:dyDescent="0.25">
      <c r="A122" s="44" t="s">
        <v>236</v>
      </c>
      <c r="B122" s="76" t="s">
        <v>3</v>
      </c>
      <c r="C122" s="76" t="s">
        <v>82</v>
      </c>
      <c r="D122" s="76" t="s">
        <v>83</v>
      </c>
      <c r="E122" s="76" t="s">
        <v>88</v>
      </c>
      <c r="F122" s="76" t="s">
        <v>88</v>
      </c>
      <c r="G122" s="76" t="s">
        <v>88</v>
      </c>
      <c r="H122" s="76" t="s">
        <v>77</v>
      </c>
      <c r="I122" s="45" t="s">
        <v>78</v>
      </c>
      <c r="J122" s="74" t="s">
        <v>79</v>
      </c>
      <c r="K122" s="44" t="s">
        <v>3</v>
      </c>
      <c r="L122" s="76" t="s">
        <v>88</v>
      </c>
      <c r="M122" s="76"/>
      <c r="N122" s="76" t="s">
        <v>201</v>
      </c>
      <c r="O122" s="76" t="s">
        <v>81</v>
      </c>
      <c r="P122" s="57">
        <v>0</v>
      </c>
      <c r="Q122" s="44"/>
      <c r="R122" s="74" t="s">
        <v>89</v>
      </c>
      <c r="S122" s="48">
        <v>0</v>
      </c>
      <c r="T122" s="48">
        <v>4881660</v>
      </c>
      <c r="U122" s="48">
        <v>6671602</v>
      </c>
      <c r="V122" s="48">
        <v>0</v>
      </c>
      <c r="W122" s="50">
        <v>7839999.3600000003</v>
      </c>
      <c r="X122" s="48">
        <v>470399.96</v>
      </c>
      <c r="Y122" s="50">
        <f t="shared" si="10"/>
        <v>2958339.3600000003</v>
      </c>
      <c r="Z122" s="50">
        <f t="shared" si="11"/>
        <v>8310399.3200000003</v>
      </c>
      <c r="AA122" s="48">
        <f t="shared" si="17"/>
        <v>-1168397.3600000003</v>
      </c>
      <c r="AB122" s="48">
        <v>4881660</v>
      </c>
      <c r="AC122" s="46">
        <v>8.3699999999999997E-2</v>
      </c>
      <c r="AD122" s="76"/>
      <c r="AE122" s="77" t="s">
        <v>239</v>
      </c>
      <c r="AF122" s="77"/>
      <c r="AG122" s="76">
        <v>0</v>
      </c>
    </row>
    <row r="123" spans="1:33" hidden="1" x14ac:dyDescent="0.25">
      <c r="A123" s="44" t="s">
        <v>236</v>
      </c>
      <c r="B123" s="76" t="s">
        <v>3</v>
      </c>
      <c r="C123" s="76" t="s">
        <v>82</v>
      </c>
      <c r="D123" s="76" t="s">
        <v>83</v>
      </c>
      <c r="E123" s="76" t="s">
        <v>84</v>
      </c>
      <c r="F123" s="76" t="s">
        <v>84</v>
      </c>
      <c r="G123" s="76" t="s">
        <v>84</v>
      </c>
      <c r="H123" s="76" t="s">
        <v>202</v>
      </c>
      <c r="I123" s="45" t="s">
        <v>203</v>
      </c>
      <c r="J123" s="74" t="s">
        <v>204</v>
      </c>
      <c r="K123" s="44" t="s">
        <v>3</v>
      </c>
      <c r="L123" s="76" t="s">
        <v>84</v>
      </c>
      <c r="M123" s="76"/>
      <c r="N123" s="76" t="s">
        <v>86</v>
      </c>
      <c r="O123" s="76" t="s">
        <v>81</v>
      </c>
      <c r="P123" s="57">
        <v>0</v>
      </c>
      <c r="Q123" s="44"/>
      <c r="R123" s="76" t="s">
        <v>205</v>
      </c>
      <c r="S123" s="48">
        <v>281.11</v>
      </c>
      <c r="T123" s="48">
        <v>4076.12</v>
      </c>
      <c r="U123" s="48">
        <v>4076.12</v>
      </c>
      <c r="V123" s="48">
        <f>S123+T123-U123</f>
        <v>281.10999999999967</v>
      </c>
      <c r="W123" s="50">
        <v>0</v>
      </c>
      <c r="X123" s="48"/>
      <c r="Y123" s="50">
        <f t="shared" si="10"/>
        <v>0</v>
      </c>
      <c r="Z123" s="50">
        <f t="shared" si="11"/>
        <v>0</v>
      </c>
      <c r="AA123" s="48">
        <f t="shared" si="17"/>
        <v>4076.12</v>
      </c>
      <c r="AB123" s="48">
        <v>4076.12</v>
      </c>
      <c r="AC123" s="78">
        <v>0</v>
      </c>
      <c r="AD123" s="76"/>
      <c r="AE123" s="76"/>
      <c r="AF123" s="76"/>
      <c r="AG123" s="76">
        <v>0</v>
      </c>
    </row>
    <row r="124" spans="1:33" hidden="1" x14ac:dyDescent="0.25">
      <c r="A124" s="44" t="s">
        <v>236</v>
      </c>
      <c r="B124" s="76" t="s">
        <v>3</v>
      </c>
      <c r="C124" s="76" t="s">
        <v>82</v>
      </c>
      <c r="D124" s="76" t="s">
        <v>83</v>
      </c>
      <c r="E124" s="76" t="s">
        <v>88</v>
      </c>
      <c r="F124" s="76" t="s">
        <v>88</v>
      </c>
      <c r="G124" s="76" t="s">
        <v>88</v>
      </c>
      <c r="H124" s="76" t="s">
        <v>202</v>
      </c>
      <c r="I124" s="45" t="s">
        <v>203</v>
      </c>
      <c r="J124" s="74" t="s">
        <v>204</v>
      </c>
      <c r="K124" s="44" t="s">
        <v>3</v>
      </c>
      <c r="L124" s="76" t="s">
        <v>88</v>
      </c>
      <c r="M124" s="76"/>
      <c r="N124" s="76" t="s">
        <v>86</v>
      </c>
      <c r="O124" s="76" t="s">
        <v>81</v>
      </c>
      <c r="P124" s="57">
        <v>0</v>
      </c>
      <c r="Q124" s="44"/>
      <c r="R124" s="76" t="s">
        <v>205</v>
      </c>
      <c r="S124" s="48">
        <v>292371.32</v>
      </c>
      <c r="T124" s="48">
        <v>113492.08</v>
      </c>
      <c r="U124" s="48">
        <v>292371.32</v>
      </c>
      <c r="V124" s="48">
        <f>S124+T124-U124</f>
        <v>113492.08000000002</v>
      </c>
      <c r="W124" s="50">
        <v>0</v>
      </c>
      <c r="X124" s="48"/>
      <c r="Y124" s="50">
        <f t="shared" si="10"/>
        <v>0</v>
      </c>
      <c r="Z124" s="50">
        <f t="shared" si="11"/>
        <v>0</v>
      </c>
      <c r="AA124" s="48">
        <f t="shared" si="17"/>
        <v>292371.32</v>
      </c>
      <c r="AB124" s="48">
        <v>113492.08</v>
      </c>
      <c r="AC124" s="78">
        <v>0</v>
      </c>
      <c r="AD124" s="76"/>
      <c r="AE124" s="76"/>
      <c r="AF124" s="76"/>
      <c r="AG124" s="76">
        <v>0</v>
      </c>
    </row>
    <row r="125" spans="1:33" hidden="1" x14ac:dyDescent="0.25">
      <c r="A125" s="44" t="s">
        <v>236</v>
      </c>
      <c r="B125" s="53" t="s">
        <v>3</v>
      </c>
      <c r="C125" s="53" t="s">
        <v>82</v>
      </c>
      <c r="D125" s="53" t="s">
        <v>83</v>
      </c>
      <c r="E125" s="53" t="s">
        <v>88</v>
      </c>
      <c r="F125" s="53" t="s">
        <v>88</v>
      </c>
      <c r="G125" s="53" t="s">
        <v>88</v>
      </c>
      <c r="H125" s="53" t="s">
        <v>206</v>
      </c>
      <c r="I125" s="45" t="s">
        <v>203</v>
      </c>
      <c r="J125" s="74" t="s">
        <v>207</v>
      </c>
      <c r="K125" s="44" t="s">
        <v>3</v>
      </c>
      <c r="L125" s="53" t="s">
        <v>88</v>
      </c>
      <c r="M125" s="79" t="s">
        <v>3</v>
      </c>
      <c r="N125" s="53" t="s">
        <v>86</v>
      </c>
      <c r="O125" s="53" t="s">
        <v>81</v>
      </c>
      <c r="P125" s="80">
        <v>0</v>
      </c>
      <c r="Q125" s="81"/>
      <c r="R125" s="82"/>
      <c r="S125" s="48">
        <v>81000</v>
      </c>
      <c r="T125" s="55">
        <v>0</v>
      </c>
      <c r="U125" s="55">
        <v>0</v>
      </c>
      <c r="V125" s="55">
        <v>81000</v>
      </c>
      <c r="W125" s="50">
        <v>0</v>
      </c>
      <c r="X125" s="55"/>
      <c r="Y125" s="50">
        <f t="shared" si="10"/>
        <v>0</v>
      </c>
      <c r="Z125" s="50">
        <f t="shared" si="11"/>
        <v>0</v>
      </c>
      <c r="AA125" s="55">
        <v>0</v>
      </c>
      <c r="AB125" s="55">
        <v>0</v>
      </c>
      <c r="AC125" s="83">
        <v>0</v>
      </c>
      <c r="AD125" s="82"/>
      <c r="AE125" s="82"/>
      <c r="AF125" s="82"/>
      <c r="AG125" s="80">
        <v>0</v>
      </c>
    </row>
    <row r="126" spans="1:33" hidden="1" x14ac:dyDescent="0.25">
      <c r="A126" s="44" t="s">
        <v>236</v>
      </c>
      <c r="B126" s="82" t="s">
        <v>3</v>
      </c>
      <c r="C126" s="82" t="s">
        <v>82</v>
      </c>
      <c r="D126" s="82" t="s">
        <v>208</v>
      </c>
      <c r="E126" s="82" t="s">
        <v>209</v>
      </c>
      <c r="F126" s="82" t="s">
        <v>209</v>
      </c>
      <c r="G126" s="82" t="s">
        <v>209</v>
      </c>
      <c r="H126" s="82" t="s">
        <v>210</v>
      </c>
      <c r="I126" s="45" t="s">
        <v>203</v>
      </c>
      <c r="J126" s="74" t="s">
        <v>211</v>
      </c>
      <c r="K126" s="44" t="s">
        <v>3</v>
      </c>
      <c r="L126" s="82" t="s">
        <v>209</v>
      </c>
      <c r="M126" s="79" t="s">
        <v>3</v>
      </c>
      <c r="N126" s="82" t="s">
        <v>212</v>
      </c>
      <c r="O126" s="82" t="s">
        <v>81</v>
      </c>
      <c r="P126" s="80">
        <v>0</v>
      </c>
      <c r="Q126" s="81"/>
      <c r="R126" s="82" t="s">
        <v>213</v>
      </c>
      <c r="S126" s="48">
        <v>0</v>
      </c>
      <c r="T126" s="55">
        <v>3015000</v>
      </c>
      <c r="U126" s="55">
        <v>2940594.06</v>
      </c>
      <c r="V126" s="55">
        <v>0</v>
      </c>
      <c r="W126" s="50">
        <v>2940594.06</v>
      </c>
      <c r="X126" s="55"/>
      <c r="Y126" s="50">
        <f t="shared" si="10"/>
        <v>0</v>
      </c>
      <c r="Z126" s="50">
        <f t="shared" si="11"/>
        <v>2940594.06</v>
      </c>
      <c r="AA126" s="55">
        <v>0</v>
      </c>
      <c r="AB126" s="55">
        <v>3015000</v>
      </c>
      <c r="AC126" s="80">
        <v>0</v>
      </c>
      <c r="AD126" s="82"/>
      <c r="AE126" s="82"/>
      <c r="AF126" s="82"/>
      <c r="AG126" s="82">
        <v>0</v>
      </c>
    </row>
    <row r="127" spans="1:33" hidden="1" x14ac:dyDescent="0.25">
      <c r="A127" s="44" t="s">
        <v>236</v>
      </c>
      <c r="B127" s="82" t="s">
        <v>3</v>
      </c>
      <c r="C127" s="82" t="s">
        <v>82</v>
      </c>
      <c r="D127" s="82" t="s">
        <v>208</v>
      </c>
      <c r="E127" s="82" t="s">
        <v>215</v>
      </c>
      <c r="F127" s="82" t="s">
        <v>215</v>
      </c>
      <c r="G127" s="82" t="s">
        <v>215</v>
      </c>
      <c r="H127" s="82" t="s">
        <v>210</v>
      </c>
      <c r="I127" s="45" t="s">
        <v>203</v>
      </c>
      <c r="J127" s="74" t="s">
        <v>211</v>
      </c>
      <c r="K127" s="44" t="s">
        <v>3</v>
      </c>
      <c r="L127" s="82" t="s">
        <v>215</v>
      </c>
      <c r="M127" s="79" t="s">
        <v>3</v>
      </c>
      <c r="N127" s="82" t="s">
        <v>80</v>
      </c>
      <c r="O127" s="82" t="s">
        <v>81</v>
      </c>
      <c r="P127" s="80">
        <v>0</v>
      </c>
      <c r="Q127" s="81"/>
      <c r="R127" s="82" t="s">
        <v>213</v>
      </c>
      <c r="S127" s="48">
        <v>283500</v>
      </c>
      <c r="T127" s="55">
        <v>26230500</v>
      </c>
      <c r="U127" s="55">
        <v>25839000</v>
      </c>
      <c r="V127" s="55">
        <v>675000</v>
      </c>
      <c r="W127" s="50">
        <v>25839000</v>
      </c>
      <c r="X127" s="55"/>
      <c r="Y127" s="50">
        <f t="shared" si="10"/>
        <v>0</v>
      </c>
      <c r="Z127" s="50">
        <f t="shared" si="11"/>
        <v>25839000</v>
      </c>
      <c r="AA127" s="55">
        <v>0</v>
      </c>
      <c r="AB127" s="55">
        <v>26230500</v>
      </c>
      <c r="AC127" s="80">
        <v>0</v>
      </c>
      <c r="AD127" s="82"/>
      <c r="AE127" s="82"/>
      <c r="AF127" s="82"/>
      <c r="AG127" s="82">
        <v>0</v>
      </c>
    </row>
    <row r="128" spans="1:33" hidden="1" x14ac:dyDescent="0.25">
      <c r="A128" s="44" t="s">
        <v>236</v>
      </c>
      <c r="B128" s="84" t="s">
        <v>3</v>
      </c>
      <c r="C128" s="84" t="s">
        <v>82</v>
      </c>
      <c r="D128" s="84" t="s">
        <v>83</v>
      </c>
      <c r="E128" s="84" t="s">
        <v>88</v>
      </c>
      <c r="F128" s="84" t="s">
        <v>88</v>
      </c>
      <c r="G128" s="84" t="s">
        <v>88</v>
      </c>
      <c r="H128" s="84" t="s">
        <v>234</v>
      </c>
      <c r="I128" s="45" t="s">
        <v>203</v>
      </c>
      <c r="J128" s="74" t="s">
        <v>235</v>
      </c>
      <c r="K128" s="44" t="s">
        <v>3</v>
      </c>
      <c r="L128" s="84" t="s">
        <v>88</v>
      </c>
      <c r="M128" s="84" t="str">
        <f>VLOOKUP(H128,[1]媒体信息!$B:$AA,26,0)</f>
        <v>金源广告</v>
      </c>
      <c r="N128" s="84" t="s">
        <v>86</v>
      </c>
      <c r="O128" s="84" t="s">
        <v>81</v>
      </c>
      <c r="P128" s="85">
        <v>0</v>
      </c>
      <c r="Q128" s="86"/>
      <c r="R128" s="84" t="s">
        <v>89</v>
      </c>
      <c r="S128" s="48"/>
      <c r="T128" s="87"/>
      <c r="U128" s="88">
        <v>135035.88</v>
      </c>
      <c r="V128" s="87"/>
      <c r="W128" s="88">
        <v>135035.88</v>
      </c>
      <c r="X128" s="87">
        <v>9216</v>
      </c>
      <c r="Y128" s="50">
        <f t="shared" si="10"/>
        <v>0</v>
      </c>
      <c r="Z128" s="50">
        <f t="shared" si="11"/>
        <v>144251.88</v>
      </c>
      <c r="AA128" s="87">
        <f>U128-W128</f>
        <v>0</v>
      </c>
      <c r="AB128" s="88">
        <v>135035.88</v>
      </c>
      <c r="AC128" s="89">
        <v>0</v>
      </c>
      <c r="AD128" s="84"/>
      <c r="AE128" s="84" t="s">
        <v>222</v>
      </c>
      <c r="AF128" s="84"/>
      <c r="AG128" s="84">
        <v>0.1</v>
      </c>
    </row>
    <row r="129" spans="1:33" hidden="1" x14ac:dyDescent="0.25">
      <c r="A129" s="81" t="s">
        <v>240</v>
      </c>
      <c r="B129" s="76" t="s">
        <v>3</v>
      </c>
      <c r="C129" s="76" t="s">
        <v>82</v>
      </c>
      <c r="D129" s="76" t="s">
        <v>83</v>
      </c>
      <c r="E129" s="76" t="s">
        <v>84</v>
      </c>
      <c r="F129" s="76" t="s">
        <v>84</v>
      </c>
      <c r="G129" s="76" t="s">
        <v>84</v>
      </c>
      <c r="H129" s="76" t="s">
        <v>77</v>
      </c>
      <c r="I129" s="45" t="s">
        <v>78</v>
      </c>
      <c r="J129" s="76" t="s">
        <v>78</v>
      </c>
      <c r="K129" s="76" t="s">
        <v>3</v>
      </c>
      <c r="L129" s="76" t="s">
        <v>85</v>
      </c>
      <c r="M129" s="76"/>
      <c r="N129" s="76" t="s">
        <v>86</v>
      </c>
      <c r="O129" s="76" t="s">
        <v>87</v>
      </c>
      <c r="P129" s="57">
        <v>0.05</v>
      </c>
      <c r="Q129" s="44"/>
      <c r="R129" s="76"/>
      <c r="S129" s="48">
        <v>10000</v>
      </c>
      <c r="T129" s="51">
        <v>-10000</v>
      </c>
      <c r="U129" s="51">
        <v>0</v>
      </c>
      <c r="V129" s="51">
        <f t="shared" ref="V129:V176" si="19">S129+T129-U129</f>
        <v>0</v>
      </c>
      <c r="W129" s="50">
        <f>U129*(1+AG129)/(1+AG129+P129)</f>
        <v>0</v>
      </c>
      <c r="X129" s="51"/>
      <c r="Y129" s="50">
        <f t="shared" si="10"/>
        <v>0</v>
      </c>
      <c r="Z129" s="50">
        <f t="shared" si="11"/>
        <v>0</v>
      </c>
      <c r="AA129" s="90">
        <f>W129*P129</f>
        <v>0</v>
      </c>
      <c r="AB129" s="51">
        <f>U129</f>
        <v>0</v>
      </c>
      <c r="AC129" s="46">
        <v>8.3699999999999997E-2</v>
      </c>
      <c r="AD129" s="51"/>
      <c r="AE129" s="76"/>
      <c r="AF129" s="76"/>
      <c r="AG129" s="57" t="s">
        <v>241</v>
      </c>
    </row>
    <row r="130" spans="1:33" hidden="1" x14ac:dyDescent="0.25">
      <c r="A130" s="81" t="s">
        <v>240</v>
      </c>
      <c r="B130" s="76" t="s">
        <v>3</v>
      </c>
      <c r="C130" s="76" t="s">
        <v>82</v>
      </c>
      <c r="D130" s="76" t="s">
        <v>83</v>
      </c>
      <c r="E130" s="76" t="s">
        <v>88</v>
      </c>
      <c r="F130" s="76" t="s">
        <v>88</v>
      </c>
      <c r="G130" s="76" t="s">
        <v>88</v>
      </c>
      <c r="H130" s="76" t="s">
        <v>77</v>
      </c>
      <c r="I130" s="45" t="s">
        <v>78</v>
      </c>
      <c r="J130" s="76" t="s">
        <v>78</v>
      </c>
      <c r="K130" s="76" t="s">
        <v>3</v>
      </c>
      <c r="L130" s="76" t="s">
        <v>88</v>
      </c>
      <c r="M130" s="76"/>
      <c r="N130" s="76" t="s">
        <v>86</v>
      </c>
      <c r="O130" s="76" t="s">
        <v>94</v>
      </c>
      <c r="P130" s="57">
        <v>0.01</v>
      </c>
      <c r="Q130" s="44"/>
      <c r="R130" s="76" t="s">
        <v>89</v>
      </c>
      <c r="S130" s="48">
        <v>747605.95999999903</v>
      </c>
      <c r="T130" s="51">
        <v>541672.73</v>
      </c>
      <c r="U130" s="51">
        <v>841702.19</v>
      </c>
      <c r="V130" s="51">
        <f t="shared" si="19"/>
        <v>447576.49999999907</v>
      </c>
      <c r="W130" s="50">
        <f>U130*(1+AG130)/(1+AG130+P130)</f>
        <v>835373.60210526304</v>
      </c>
      <c r="X130" s="51">
        <v>48960</v>
      </c>
      <c r="Y130" s="50">
        <f t="shared" ref="Y130:Y193" si="20">IF(W130-AB130&lt;0,0,IF(O130="返现",MAX(W130-AA130-AB130,0),MAX(W130-AB130,0)))</f>
        <v>0</v>
      </c>
      <c r="Z130" s="50">
        <f t="shared" ref="Z130:Z193" si="21">W130+X130+AN130</f>
        <v>884333.60210526304</v>
      </c>
      <c r="AA130" s="51">
        <f>U130-W130</f>
        <v>6328.5878947369056</v>
      </c>
      <c r="AB130" s="51">
        <f>U130</f>
        <v>841702.19</v>
      </c>
      <c r="AC130" s="46">
        <v>8.3699999999999997E-2</v>
      </c>
      <c r="AD130" s="51"/>
      <c r="AE130" s="76"/>
      <c r="AF130" s="76"/>
      <c r="AG130" s="57" t="s">
        <v>242</v>
      </c>
    </row>
    <row r="131" spans="1:33" hidden="1" x14ac:dyDescent="0.25">
      <c r="A131" s="81" t="s">
        <v>240</v>
      </c>
      <c r="B131" s="76" t="s">
        <v>3</v>
      </c>
      <c r="C131" s="76" t="s">
        <v>82</v>
      </c>
      <c r="D131" s="76" t="s">
        <v>83</v>
      </c>
      <c r="E131" s="76" t="s">
        <v>88</v>
      </c>
      <c r="F131" s="76" t="s">
        <v>88</v>
      </c>
      <c r="G131" s="76" t="s">
        <v>88</v>
      </c>
      <c r="H131" s="76" t="s">
        <v>77</v>
      </c>
      <c r="I131" s="45" t="s">
        <v>78</v>
      </c>
      <c r="J131" s="76" t="s">
        <v>78</v>
      </c>
      <c r="K131" s="76" t="s">
        <v>3</v>
      </c>
      <c r="L131" s="76" t="s">
        <v>88</v>
      </c>
      <c r="M131" s="76"/>
      <c r="N131" s="76" t="s">
        <v>126</v>
      </c>
      <c r="O131" s="76" t="s">
        <v>94</v>
      </c>
      <c r="P131" s="57">
        <v>0.05</v>
      </c>
      <c r="Q131" s="44"/>
      <c r="R131" s="76"/>
      <c r="S131" s="48">
        <v>0</v>
      </c>
      <c r="T131" s="51">
        <v>1037878.79</v>
      </c>
      <c r="U131" s="51">
        <v>0</v>
      </c>
      <c r="V131" s="51">
        <f t="shared" si="19"/>
        <v>1037878.79</v>
      </c>
      <c r="W131" s="50">
        <f>U131*(1+AG131)/(1+AG131+P131)</f>
        <v>0</v>
      </c>
      <c r="X131" s="51"/>
      <c r="Y131" s="50">
        <f t="shared" si="20"/>
        <v>0</v>
      </c>
      <c r="Z131" s="50">
        <f t="shared" si="21"/>
        <v>0</v>
      </c>
      <c r="AA131" s="51">
        <f>U131-W131</f>
        <v>0</v>
      </c>
      <c r="AB131" s="51">
        <f>U131</f>
        <v>0</v>
      </c>
      <c r="AC131" s="46">
        <v>0.1038</v>
      </c>
      <c r="AD131" s="51"/>
      <c r="AE131" s="76"/>
      <c r="AF131" s="76"/>
      <c r="AG131" s="57" t="s">
        <v>242</v>
      </c>
    </row>
    <row r="132" spans="1:33" hidden="1" x14ac:dyDescent="0.25">
      <c r="A132" s="81" t="s">
        <v>240</v>
      </c>
      <c r="B132" s="76" t="s">
        <v>3</v>
      </c>
      <c r="C132" s="76" t="s">
        <v>82</v>
      </c>
      <c r="D132" s="76" t="s">
        <v>83</v>
      </c>
      <c r="E132" s="76" t="s">
        <v>84</v>
      </c>
      <c r="F132" s="76" t="s">
        <v>237</v>
      </c>
      <c r="G132" s="76" t="s">
        <v>84</v>
      </c>
      <c r="H132" s="76" t="s">
        <v>77</v>
      </c>
      <c r="I132" s="45" t="s">
        <v>78</v>
      </c>
      <c r="J132" s="76" t="s">
        <v>78</v>
      </c>
      <c r="K132" s="76" t="s">
        <v>3</v>
      </c>
      <c r="L132" s="76" t="s">
        <v>88</v>
      </c>
      <c r="M132" s="76"/>
      <c r="N132" s="44" t="s">
        <v>86</v>
      </c>
      <c r="O132" s="76" t="s">
        <v>87</v>
      </c>
      <c r="P132" s="57">
        <v>0.02</v>
      </c>
      <c r="Q132" s="76"/>
      <c r="R132" s="76" t="s">
        <v>54</v>
      </c>
      <c r="S132" s="48">
        <v>45962.21</v>
      </c>
      <c r="T132" s="51"/>
      <c r="U132" s="51">
        <v>48226.22</v>
      </c>
      <c r="V132" s="51">
        <f t="shared" si="19"/>
        <v>-2264.010000000002</v>
      </c>
      <c r="W132" s="50">
        <v>289112</v>
      </c>
      <c r="X132" s="51"/>
      <c r="Y132" s="50">
        <f t="shared" si="20"/>
        <v>235313.16999999998</v>
      </c>
      <c r="Z132" s="50">
        <f t="shared" si="21"/>
        <v>289112</v>
      </c>
      <c r="AA132" s="90">
        <v>5613.83</v>
      </c>
      <c r="AB132" s="51">
        <v>48185</v>
      </c>
      <c r="AC132" s="46">
        <v>8.3699999999999997E-2</v>
      </c>
      <c r="AD132" s="51"/>
      <c r="AE132" s="76"/>
      <c r="AF132" s="76"/>
      <c r="AG132" s="57">
        <v>0.32</v>
      </c>
    </row>
    <row r="133" spans="1:33" hidden="1" x14ac:dyDescent="0.25">
      <c r="A133" s="81" t="s">
        <v>240</v>
      </c>
      <c r="B133" s="76" t="s">
        <v>71</v>
      </c>
      <c r="C133" s="76" t="s">
        <v>90</v>
      </c>
      <c r="D133" s="76" t="s">
        <v>91</v>
      </c>
      <c r="E133" s="76" t="s">
        <v>92</v>
      </c>
      <c r="F133" s="76" t="s">
        <v>93</v>
      </c>
      <c r="G133" s="76" t="s">
        <v>76</v>
      </c>
      <c r="H133" s="76" t="s">
        <v>77</v>
      </c>
      <c r="I133" s="45" t="s">
        <v>78</v>
      </c>
      <c r="J133" s="76" t="s">
        <v>78</v>
      </c>
      <c r="K133" s="76" t="s">
        <v>3</v>
      </c>
      <c r="L133" s="76" t="s">
        <v>92</v>
      </c>
      <c r="M133" s="76"/>
      <c r="N133" s="44" t="s">
        <v>86</v>
      </c>
      <c r="O133" s="76" t="s">
        <v>81</v>
      </c>
      <c r="P133" s="57">
        <v>0</v>
      </c>
      <c r="Q133" s="76"/>
      <c r="R133" s="76"/>
      <c r="S133" s="48">
        <v>7.0399999999990497</v>
      </c>
      <c r="T133" s="51"/>
      <c r="U133" s="51">
        <v>0</v>
      </c>
      <c r="V133" s="51">
        <f t="shared" si="19"/>
        <v>7.0399999999990497</v>
      </c>
      <c r="W133" s="50">
        <f t="shared" ref="W133:W176" si="22">U133*(1+AG133)/(1+AG133+P133)</f>
        <v>0</v>
      </c>
      <c r="X133" s="51"/>
      <c r="Y133" s="50">
        <f t="shared" si="20"/>
        <v>0</v>
      </c>
      <c r="Z133" s="50">
        <f t="shared" si="21"/>
        <v>0</v>
      </c>
      <c r="AA133" s="51">
        <f t="shared" ref="AA133:AA164" si="23">U133-W133</f>
        <v>0</v>
      </c>
      <c r="AB133" s="51">
        <f t="shared" ref="AB133:AB176" si="24">U133</f>
        <v>0</v>
      </c>
      <c r="AC133" s="46">
        <v>8.3699999999999997E-2</v>
      </c>
      <c r="AD133" s="51"/>
      <c r="AE133" s="76"/>
      <c r="AF133" s="76"/>
      <c r="AG133" s="57">
        <v>0</v>
      </c>
    </row>
    <row r="134" spans="1:33" hidden="1" x14ac:dyDescent="0.25">
      <c r="A134" s="81" t="s">
        <v>240</v>
      </c>
      <c r="B134" s="76" t="s">
        <v>71</v>
      </c>
      <c r="C134" s="76" t="s">
        <v>72</v>
      </c>
      <c r="D134" s="76" t="s">
        <v>73</v>
      </c>
      <c r="E134" s="76" t="s">
        <v>74</v>
      </c>
      <c r="F134" s="76" t="s">
        <v>75</v>
      </c>
      <c r="G134" s="76" t="s">
        <v>76</v>
      </c>
      <c r="H134" s="76" t="s">
        <v>77</v>
      </c>
      <c r="I134" s="45" t="s">
        <v>78</v>
      </c>
      <c r="J134" s="76" t="s">
        <v>78</v>
      </c>
      <c r="K134" s="76" t="s">
        <v>3</v>
      </c>
      <c r="L134" s="76" t="s">
        <v>74</v>
      </c>
      <c r="M134" s="76"/>
      <c r="N134" s="44" t="s">
        <v>86</v>
      </c>
      <c r="O134" s="76" t="s">
        <v>94</v>
      </c>
      <c r="P134" s="57">
        <v>0.03</v>
      </c>
      <c r="Q134" s="76"/>
      <c r="R134" s="76"/>
      <c r="S134" s="48">
        <v>15899.0800000003</v>
      </c>
      <c r="T134" s="51"/>
      <c r="U134" s="51">
        <v>0</v>
      </c>
      <c r="V134" s="51">
        <f t="shared" si="19"/>
        <v>15899.0800000003</v>
      </c>
      <c r="W134" s="50">
        <f t="shared" si="22"/>
        <v>0</v>
      </c>
      <c r="X134" s="51"/>
      <c r="Y134" s="50">
        <f t="shared" si="20"/>
        <v>0</v>
      </c>
      <c r="Z134" s="50">
        <f t="shared" si="21"/>
        <v>0</v>
      </c>
      <c r="AA134" s="51">
        <f t="shared" si="23"/>
        <v>0</v>
      </c>
      <c r="AB134" s="51">
        <f t="shared" si="24"/>
        <v>0</v>
      </c>
      <c r="AC134" s="46">
        <v>8.3699999999999997E-2</v>
      </c>
      <c r="AD134" s="51"/>
      <c r="AE134" s="76"/>
      <c r="AF134" s="76"/>
      <c r="AG134" s="57">
        <v>7.0000000000000007E-2</v>
      </c>
    </row>
    <row r="135" spans="1:33" hidden="1" x14ac:dyDescent="0.25">
      <c r="A135" s="81" t="s">
        <v>240</v>
      </c>
      <c r="B135" s="76" t="s">
        <v>71</v>
      </c>
      <c r="C135" s="76" t="s">
        <v>72</v>
      </c>
      <c r="D135" s="76" t="s">
        <v>73</v>
      </c>
      <c r="E135" s="76" t="s">
        <v>74</v>
      </c>
      <c r="F135" s="76" t="s">
        <v>75</v>
      </c>
      <c r="G135" s="76" t="s">
        <v>76</v>
      </c>
      <c r="H135" s="76" t="s">
        <v>77</v>
      </c>
      <c r="I135" s="45" t="s">
        <v>78</v>
      </c>
      <c r="J135" s="76" t="s">
        <v>78</v>
      </c>
      <c r="K135" s="76" t="s">
        <v>3</v>
      </c>
      <c r="L135" s="76" t="s">
        <v>74</v>
      </c>
      <c r="M135" s="76"/>
      <c r="N135" s="44" t="s">
        <v>80</v>
      </c>
      <c r="O135" s="76" t="s">
        <v>94</v>
      </c>
      <c r="P135" s="57">
        <v>0.03</v>
      </c>
      <c r="Q135" s="76"/>
      <c r="R135" s="76"/>
      <c r="S135" s="48">
        <v>2383.1799999999998</v>
      </c>
      <c r="T135" s="51"/>
      <c r="U135" s="51">
        <v>0</v>
      </c>
      <c r="V135" s="51">
        <f t="shared" si="19"/>
        <v>2383.1799999999998</v>
      </c>
      <c r="W135" s="50">
        <f t="shared" si="22"/>
        <v>0</v>
      </c>
      <c r="X135" s="51"/>
      <c r="Y135" s="50">
        <f t="shared" si="20"/>
        <v>0</v>
      </c>
      <c r="Z135" s="50">
        <f t="shared" si="21"/>
        <v>0</v>
      </c>
      <c r="AA135" s="51">
        <f t="shared" si="23"/>
        <v>0</v>
      </c>
      <c r="AB135" s="51">
        <f t="shared" si="24"/>
        <v>0</v>
      </c>
      <c r="AC135" s="46">
        <v>8.3699999999999997E-2</v>
      </c>
      <c r="AD135" s="51"/>
      <c r="AE135" s="76"/>
      <c r="AF135" s="76"/>
      <c r="AG135" s="57">
        <v>7.0000000000000007E-2</v>
      </c>
    </row>
    <row r="136" spans="1:33" hidden="1" x14ac:dyDescent="0.25">
      <c r="A136" s="81" t="s">
        <v>240</v>
      </c>
      <c r="B136" s="76" t="s">
        <v>3</v>
      </c>
      <c r="C136" s="76" t="s">
        <v>95</v>
      </c>
      <c r="D136" s="76" t="s">
        <v>96</v>
      </c>
      <c r="E136" s="76" t="s">
        <v>99</v>
      </c>
      <c r="F136" s="76" t="s">
        <v>99</v>
      </c>
      <c r="G136" s="76" t="s">
        <v>99</v>
      </c>
      <c r="H136" s="76" t="s">
        <v>77</v>
      </c>
      <c r="I136" s="45" t="s">
        <v>78</v>
      </c>
      <c r="J136" s="76" t="s">
        <v>78</v>
      </c>
      <c r="K136" s="76" t="s">
        <v>3</v>
      </c>
      <c r="L136" s="76" t="s">
        <v>98</v>
      </c>
      <c r="M136" s="76"/>
      <c r="N136" s="44" t="s">
        <v>86</v>
      </c>
      <c r="O136" s="76" t="s">
        <v>94</v>
      </c>
      <c r="P136" s="57">
        <v>0.03</v>
      </c>
      <c r="Q136" s="76"/>
      <c r="R136" s="76"/>
      <c r="S136" s="48">
        <v>5696.55</v>
      </c>
      <c r="T136" s="51"/>
      <c r="U136" s="51">
        <v>0</v>
      </c>
      <c r="V136" s="51">
        <f t="shared" si="19"/>
        <v>5696.55</v>
      </c>
      <c r="W136" s="50">
        <f t="shared" si="22"/>
        <v>0</v>
      </c>
      <c r="X136" s="51"/>
      <c r="Y136" s="50">
        <f t="shared" si="20"/>
        <v>0</v>
      </c>
      <c r="Z136" s="50">
        <f t="shared" si="21"/>
        <v>0</v>
      </c>
      <c r="AA136" s="51">
        <f t="shared" si="23"/>
        <v>0</v>
      </c>
      <c r="AB136" s="51">
        <f t="shared" si="24"/>
        <v>0</v>
      </c>
      <c r="AC136" s="46">
        <v>8.3699999999999997E-2</v>
      </c>
      <c r="AD136" s="51"/>
      <c r="AE136" s="76"/>
      <c r="AF136" s="76"/>
      <c r="AG136" s="57">
        <v>0</v>
      </c>
    </row>
    <row r="137" spans="1:33" hidden="1" x14ac:dyDescent="0.25">
      <c r="A137" s="81" t="s">
        <v>240</v>
      </c>
      <c r="B137" s="76" t="s">
        <v>71</v>
      </c>
      <c r="C137" s="76" t="s">
        <v>90</v>
      </c>
      <c r="D137" s="76" t="s">
        <v>91</v>
      </c>
      <c r="E137" s="76" t="s">
        <v>103</v>
      </c>
      <c r="F137" s="76" t="s">
        <v>104</v>
      </c>
      <c r="G137" s="76" t="s">
        <v>76</v>
      </c>
      <c r="H137" s="76" t="s">
        <v>77</v>
      </c>
      <c r="I137" s="45" t="s">
        <v>78</v>
      </c>
      <c r="J137" s="76" t="s">
        <v>78</v>
      </c>
      <c r="K137" s="76" t="s">
        <v>3</v>
      </c>
      <c r="L137" s="76" t="s">
        <v>103</v>
      </c>
      <c r="M137" s="76"/>
      <c r="N137" s="44" t="s">
        <v>86</v>
      </c>
      <c r="O137" s="76" t="s">
        <v>94</v>
      </c>
      <c r="P137" s="57">
        <v>0.02</v>
      </c>
      <c r="Q137" s="76"/>
      <c r="R137" s="76"/>
      <c r="S137" s="48">
        <v>106099.63</v>
      </c>
      <c r="T137" s="51"/>
      <c r="U137" s="51">
        <v>0</v>
      </c>
      <c r="V137" s="51">
        <f t="shared" si="19"/>
        <v>106099.63</v>
      </c>
      <c r="W137" s="50">
        <f t="shared" si="22"/>
        <v>0</v>
      </c>
      <c r="X137" s="51"/>
      <c r="Y137" s="50">
        <f t="shared" si="20"/>
        <v>0</v>
      </c>
      <c r="Z137" s="50">
        <f t="shared" si="21"/>
        <v>0</v>
      </c>
      <c r="AA137" s="51">
        <f t="shared" si="23"/>
        <v>0</v>
      </c>
      <c r="AB137" s="51">
        <f t="shared" si="24"/>
        <v>0</v>
      </c>
      <c r="AC137" s="46">
        <v>8.3699999999999997E-2</v>
      </c>
      <c r="AD137" s="51"/>
      <c r="AE137" s="76"/>
      <c r="AF137" s="76"/>
      <c r="AG137" s="57">
        <v>0.42</v>
      </c>
    </row>
    <row r="138" spans="1:33" hidden="1" x14ac:dyDescent="0.25">
      <c r="A138" s="81" t="s">
        <v>240</v>
      </c>
      <c r="B138" s="76" t="s">
        <v>71</v>
      </c>
      <c r="C138" s="76" t="s">
        <v>90</v>
      </c>
      <c r="D138" s="76" t="s">
        <v>105</v>
      </c>
      <c r="E138" s="76" t="s">
        <v>106</v>
      </c>
      <c r="F138" s="76" t="s">
        <v>107</v>
      </c>
      <c r="G138" s="76" t="s">
        <v>76</v>
      </c>
      <c r="H138" s="76" t="s">
        <v>77</v>
      </c>
      <c r="I138" s="45" t="s">
        <v>78</v>
      </c>
      <c r="J138" s="76" t="s">
        <v>78</v>
      </c>
      <c r="K138" s="76" t="s">
        <v>3</v>
      </c>
      <c r="L138" s="76" t="s">
        <v>106</v>
      </c>
      <c r="M138" s="76"/>
      <c r="N138" s="44" t="s">
        <v>80</v>
      </c>
      <c r="O138" s="76" t="s">
        <v>81</v>
      </c>
      <c r="P138" s="57">
        <v>0</v>
      </c>
      <c r="Q138" s="76"/>
      <c r="R138" s="76"/>
      <c r="S138" s="48">
        <v>7741.65</v>
      </c>
      <c r="T138" s="51"/>
      <c r="U138" s="51">
        <v>0</v>
      </c>
      <c r="V138" s="51">
        <f t="shared" si="19"/>
        <v>7741.65</v>
      </c>
      <c r="W138" s="50">
        <f t="shared" si="22"/>
        <v>0</v>
      </c>
      <c r="X138" s="51"/>
      <c r="Y138" s="50">
        <f t="shared" si="20"/>
        <v>0</v>
      </c>
      <c r="Z138" s="50">
        <f t="shared" si="21"/>
        <v>0</v>
      </c>
      <c r="AA138" s="51">
        <f t="shared" si="23"/>
        <v>0</v>
      </c>
      <c r="AB138" s="51">
        <f t="shared" si="24"/>
        <v>0</v>
      </c>
      <c r="AC138" s="46">
        <v>8.3699999999999997E-2</v>
      </c>
      <c r="AD138" s="51"/>
      <c r="AE138" s="76"/>
      <c r="AF138" s="76"/>
      <c r="AG138" s="57">
        <v>0.42</v>
      </c>
    </row>
    <row r="139" spans="1:33" hidden="1" x14ac:dyDescent="0.25">
      <c r="A139" s="81" t="s">
        <v>240</v>
      </c>
      <c r="B139" s="76" t="s">
        <v>3</v>
      </c>
      <c r="C139" s="76" t="s">
        <v>81</v>
      </c>
      <c r="D139" s="76" t="s">
        <v>81</v>
      </c>
      <c r="E139" s="76" t="s">
        <v>108</v>
      </c>
      <c r="F139" s="76" t="s">
        <v>108</v>
      </c>
      <c r="G139" s="76" t="s">
        <v>108</v>
      </c>
      <c r="H139" s="76" t="s">
        <v>77</v>
      </c>
      <c r="I139" s="45" t="s">
        <v>78</v>
      </c>
      <c r="J139" s="76" t="s">
        <v>78</v>
      </c>
      <c r="K139" s="76" t="s">
        <v>3</v>
      </c>
      <c r="L139" s="76" t="s">
        <v>108</v>
      </c>
      <c r="M139" s="76"/>
      <c r="N139" s="44" t="s">
        <v>86</v>
      </c>
      <c r="O139" s="76" t="s">
        <v>81</v>
      </c>
      <c r="P139" s="57">
        <v>0</v>
      </c>
      <c r="Q139" s="76"/>
      <c r="R139" s="76"/>
      <c r="S139" s="48">
        <v>16681.47</v>
      </c>
      <c r="T139" s="51"/>
      <c r="U139" s="51">
        <v>84.24</v>
      </c>
      <c r="V139" s="51">
        <f t="shared" si="19"/>
        <v>16597.23</v>
      </c>
      <c r="W139" s="50">
        <f t="shared" si="22"/>
        <v>84.24</v>
      </c>
      <c r="X139" s="51"/>
      <c r="Y139" s="50">
        <f t="shared" si="20"/>
        <v>0</v>
      </c>
      <c r="Z139" s="50">
        <f t="shared" si="21"/>
        <v>84.24</v>
      </c>
      <c r="AA139" s="51">
        <f t="shared" si="23"/>
        <v>0</v>
      </c>
      <c r="AB139" s="51">
        <f t="shared" si="24"/>
        <v>84.24</v>
      </c>
      <c r="AC139" s="46">
        <v>8.3699999999999997E-2</v>
      </c>
      <c r="AD139" s="51"/>
      <c r="AE139" s="76"/>
      <c r="AF139" s="76"/>
      <c r="AG139" s="57">
        <v>0.42</v>
      </c>
    </row>
    <row r="140" spans="1:33" hidden="1" x14ac:dyDescent="0.25">
      <c r="A140" s="81" t="s">
        <v>240</v>
      </c>
      <c r="B140" s="76" t="s">
        <v>71</v>
      </c>
      <c r="C140" s="76" t="s">
        <v>100</v>
      </c>
      <c r="D140" s="76" t="s">
        <v>101</v>
      </c>
      <c r="E140" s="76" t="s">
        <v>112</v>
      </c>
      <c r="F140" s="76" t="s">
        <v>113</v>
      </c>
      <c r="G140" s="76" t="s">
        <v>76</v>
      </c>
      <c r="H140" s="76" t="s">
        <v>77</v>
      </c>
      <c r="I140" s="45" t="s">
        <v>78</v>
      </c>
      <c r="J140" s="76" t="s">
        <v>78</v>
      </c>
      <c r="K140" s="76" t="s">
        <v>3</v>
      </c>
      <c r="L140" s="76" t="s">
        <v>112</v>
      </c>
      <c r="M140" s="76"/>
      <c r="N140" s="44" t="s">
        <v>86</v>
      </c>
      <c r="O140" s="76" t="s">
        <v>81</v>
      </c>
      <c r="P140" s="57">
        <v>0</v>
      </c>
      <c r="Q140" s="76"/>
      <c r="R140" s="76"/>
      <c r="S140" s="55">
        <v>68894.880000000005</v>
      </c>
      <c r="T140" s="51"/>
      <c r="U140" s="59">
        <v>0</v>
      </c>
      <c r="V140" s="51">
        <f t="shared" si="19"/>
        <v>68894.880000000005</v>
      </c>
      <c r="W140" s="50">
        <f t="shared" si="22"/>
        <v>0</v>
      </c>
      <c r="X140" s="51"/>
      <c r="Y140" s="50">
        <f t="shared" si="20"/>
        <v>0</v>
      </c>
      <c r="Z140" s="50">
        <f t="shared" si="21"/>
        <v>0</v>
      </c>
      <c r="AA140" s="51">
        <f t="shared" si="23"/>
        <v>0</v>
      </c>
      <c r="AB140" s="51">
        <f t="shared" si="24"/>
        <v>0</v>
      </c>
      <c r="AC140" s="46">
        <v>8.3699999999999997E-2</v>
      </c>
      <c r="AD140" s="51"/>
      <c r="AE140" s="76"/>
      <c r="AF140" s="76"/>
      <c r="AG140" s="57">
        <v>0</v>
      </c>
    </row>
    <row r="141" spans="1:33" hidden="1" x14ac:dyDescent="0.25">
      <c r="A141" s="81" t="s">
        <v>240</v>
      </c>
      <c r="B141" s="76" t="s">
        <v>3</v>
      </c>
      <c r="C141" s="76" t="s">
        <v>90</v>
      </c>
      <c r="D141" s="76" t="s">
        <v>114</v>
      </c>
      <c r="E141" s="76" t="s">
        <v>115</v>
      </c>
      <c r="F141" s="76" t="s">
        <v>115</v>
      </c>
      <c r="G141" s="76" t="s">
        <v>115</v>
      </c>
      <c r="H141" s="76" t="s">
        <v>77</v>
      </c>
      <c r="I141" s="45" t="s">
        <v>78</v>
      </c>
      <c r="J141" s="76" t="s">
        <v>78</v>
      </c>
      <c r="K141" s="76" t="s">
        <v>3</v>
      </c>
      <c r="L141" s="76" t="s">
        <v>116</v>
      </c>
      <c r="M141" s="76"/>
      <c r="N141" s="44" t="s">
        <v>86</v>
      </c>
      <c r="O141" s="76" t="s">
        <v>94</v>
      </c>
      <c r="P141" s="46">
        <v>-0.15</v>
      </c>
      <c r="Q141" s="76"/>
      <c r="R141" s="76"/>
      <c r="S141" s="48">
        <v>205.52</v>
      </c>
      <c r="T141" s="51"/>
      <c r="U141" s="51">
        <v>0</v>
      </c>
      <c r="V141" s="51">
        <f t="shared" si="19"/>
        <v>205.52</v>
      </c>
      <c r="W141" s="50">
        <f t="shared" si="22"/>
        <v>0</v>
      </c>
      <c r="X141" s="51"/>
      <c r="Y141" s="50">
        <f t="shared" si="20"/>
        <v>0</v>
      </c>
      <c r="Z141" s="50">
        <f t="shared" si="21"/>
        <v>0</v>
      </c>
      <c r="AA141" s="51">
        <f t="shared" si="23"/>
        <v>0</v>
      </c>
      <c r="AB141" s="51">
        <f t="shared" si="24"/>
        <v>0</v>
      </c>
      <c r="AC141" s="46">
        <v>8.3699999999999997E-2</v>
      </c>
      <c r="AD141" s="51"/>
      <c r="AE141" s="76"/>
      <c r="AF141" s="76"/>
      <c r="AG141" s="46">
        <v>0.26</v>
      </c>
    </row>
    <row r="142" spans="1:33" hidden="1" x14ac:dyDescent="0.25">
      <c r="A142" s="81" t="s">
        <v>240</v>
      </c>
      <c r="B142" s="76" t="s">
        <v>71</v>
      </c>
      <c r="C142" s="76" t="s">
        <v>82</v>
      </c>
      <c r="D142" s="76" t="s">
        <v>117</v>
      </c>
      <c r="E142" s="76" t="s">
        <v>118</v>
      </c>
      <c r="F142" s="76" t="s">
        <v>119</v>
      </c>
      <c r="G142" s="76" t="s">
        <v>76</v>
      </c>
      <c r="H142" s="76" t="s">
        <v>77</v>
      </c>
      <c r="I142" s="45" t="s">
        <v>78</v>
      </c>
      <c r="J142" s="76" t="s">
        <v>78</v>
      </c>
      <c r="K142" s="76" t="s">
        <v>3</v>
      </c>
      <c r="L142" s="76" t="s">
        <v>120</v>
      </c>
      <c r="M142" s="76"/>
      <c r="N142" s="44" t="s">
        <v>80</v>
      </c>
      <c r="O142" s="76" t="s">
        <v>94</v>
      </c>
      <c r="P142" s="57">
        <v>0.05</v>
      </c>
      <c r="Q142" s="76"/>
      <c r="R142" s="76"/>
      <c r="S142" s="48">
        <v>1766.24</v>
      </c>
      <c r="T142" s="51"/>
      <c r="U142" s="51">
        <v>0</v>
      </c>
      <c r="V142" s="51">
        <f t="shared" si="19"/>
        <v>1766.24</v>
      </c>
      <c r="W142" s="50">
        <f t="shared" si="22"/>
        <v>0</v>
      </c>
      <c r="X142" s="51"/>
      <c r="Y142" s="50">
        <f t="shared" si="20"/>
        <v>0</v>
      </c>
      <c r="Z142" s="50">
        <f t="shared" si="21"/>
        <v>0</v>
      </c>
      <c r="AA142" s="51">
        <f t="shared" si="23"/>
        <v>0</v>
      </c>
      <c r="AB142" s="51">
        <f t="shared" si="24"/>
        <v>0</v>
      </c>
      <c r="AC142" s="46">
        <v>8.3699999999999997E-2</v>
      </c>
      <c r="AD142" s="51"/>
      <c r="AE142" s="76"/>
      <c r="AF142" s="76"/>
      <c r="AG142" s="57">
        <v>0.42</v>
      </c>
    </row>
    <row r="143" spans="1:33" hidden="1" x14ac:dyDescent="0.25">
      <c r="A143" s="81" t="s">
        <v>240</v>
      </c>
      <c r="B143" s="76" t="s">
        <v>3</v>
      </c>
      <c r="C143" s="76" t="s">
        <v>100</v>
      </c>
      <c r="D143" s="76" t="s">
        <v>101</v>
      </c>
      <c r="E143" s="76" t="s">
        <v>121</v>
      </c>
      <c r="F143" s="76" t="s">
        <v>121</v>
      </c>
      <c r="G143" s="76" t="s">
        <v>121</v>
      </c>
      <c r="H143" s="76" t="s">
        <v>77</v>
      </c>
      <c r="I143" s="45" t="s">
        <v>78</v>
      </c>
      <c r="J143" s="76" t="s">
        <v>78</v>
      </c>
      <c r="K143" s="76" t="s">
        <v>3</v>
      </c>
      <c r="L143" s="76" t="s">
        <v>121</v>
      </c>
      <c r="M143" s="76"/>
      <c r="N143" s="44" t="s">
        <v>86</v>
      </c>
      <c r="O143" s="76" t="s">
        <v>94</v>
      </c>
      <c r="P143" s="57">
        <v>5.5E-2</v>
      </c>
      <c r="Q143" s="76"/>
      <c r="R143" s="76"/>
      <c r="S143" s="48">
        <v>12291.56</v>
      </c>
      <c r="T143" s="51"/>
      <c r="U143" s="51">
        <v>15586.38</v>
      </c>
      <c r="V143" s="51">
        <f t="shared" si="19"/>
        <v>-3294.8199999999997</v>
      </c>
      <c r="W143" s="50">
        <f t="shared" si="22"/>
        <v>14869.015230125522</v>
      </c>
      <c r="X143" s="51"/>
      <c r="Y143" s="50">
        <f t="shared" si="20"/>
        <v>0</v>
      </c>
      <c r="Z143" s="50">
        <f t="shared" si="21"/>
        <v>14869.015230125522</v>
      </c>
      <c r="AA143" s="51">
        <f t="shared" si="23"/>
        <v>717.36476987447713</v>
      </c>
      <c r="AB143" s="51">
        <f t="shared" si="24"/>
        <v>15586.38</v>
      </c>
      <c r="AC143" s="46">
        <v>8.3699999999999997E-2</v>
      </c>
      <c r="AD143" s="51"/>
      <c r="AE143" s="76"/>
      <c r="AF143" s="76"/>
      <c r="AG143" s="57">
        <v>0.14000000000000001</v>
      </c>
    </row>
    <row r="144" spans="1:33" hidden="1" x14ac:dyDescent="0.25">
      <c r="A144" s="81" t="s">
        <v>240</v>
      </c>
      <c r="B144" s="76" t="s">
        <v>71</v>
      </c>
      <c r="C144" s="76" t="s">
        <v>72</v>
      </c>
      <c r="D144" s="76" t="s">
        <v>122</v>
      </c>
      <c r="E144" s="76" t="s">
        <v>123</v>
      </c>
      <c r="F144" s="76" t="s">
        <v>124</v>
      </c>
      <c r="G144" s="76" t="s">
        <v>76</v>
      </c>
      <c r="H144" s="76" t="s">
        <v>77</v>
      </c>
      <c r="I144" s="45" t="s">
        <v>78</v>
      </c>
      <c r="J144" s="76" t="s">
        <v>78</v>
      </c>
      <c r="K144" s="76" t="s">
        <v>3</v>
      </c>
      <c r="L144" s="76" t="s">
        <v>125</v>
      </c>
      <c r="M144" s="76"/>
      <c r="N144" s="44" t="s">
        <v>126</v>
      </c>
      <c r="O144" s="76" t="s">
        <v>94</v>
      </c>
      <c r="P144" s="57">
        <v>0.18</v>
      </c>
      <c r="Q144" s="76"/>
      <c r="R144" s="76"/>
      <c r="S144" s="48">
        <v>131941.95000000001</v>
      </c>
      <c r="T144" s="51"/>
      <c r="U144" s="51">
        <v>0</v>
      </c>
      <c r="V144" s="51">
        <f t="shared" si="19"/>
        <v>131941.95000000001</v>
      </c>
      <c r="W144" s="50">
        <f t="shared" si="22"/>
        <v>0</v>
      </c>
      <c r="X144" s="51"/>
      <c r="Y144" s="50">
        <f t="shared" si="20"/>
        <v>0</v>
      </c>
      <c r="Z144" s="50">
        <f t="shared" si="21"/>
        <v>0</v>
      </c>
      <c r="AA144" s="51">
        <f t="shared" si="23"/>
        <v>0</v>
      </c>
      <c r="AB144" s="51">
        <f t="shared" si="24"/>
        <v>0</v>
      </c>
      <c r="AC144" s="46">
        <v>0.1038</v>
      </c>
      <c r="AD144" s="51"/>
      <c r="AE144" s="76"/>
      <c r="AF144" s="76"/>
      <c r="AG144" s="46">
        <v>0.42</v>
      </c>
    </row>
    <row r="145" spans="1:33" hidden="1" x14ac:dyDescent="0.25">
      <c r="A145" s="81" t="s">
        <v>240</v>
      </c>
      <c r="B145" s="76" t="s">
        <v>71</v>
      </c>
      <c r="C145" s="76" t="s">
        <v>127</v>
      </c>
      <c r="D145" s="76" t="s">
        <v>128</v>
      </c>
      <c r="E145" s="76" t="s">
        <v>129</v>
      </c>
      <c r="F145" s="76" t="s">
        <v>130</v>
      </c>
      <c r="G145" s="76" t="s">
        <v>76</v>
      </c>
      <c r="H145" s="76" t="s">
        <v>77</v>
      </c>
      <c r="I145" s="45" t="s">
        <v>78</v>
      </c>
      <c r="J145" s="76" t="s">
        <v>78</v>
      </c>
      <c r="K145" s="76" t="s">
        <v>3</v>
      </c>
      <c r="L145" s="76" t="s">
        <v>125</v>
      </c>
      <c r="M145" s="76"/>
      <c r="N145" s="44" t="s">
        <v>126</v>
      </c>
      <c r="O145" s="76" t="s">
        <v>94</v>
      </c>
      <c r="P145" s="57">
        <v>0.18</v>
      </c>
      <c r="Q145" s="76"/>
      <c r="R145" s="76"/>
      <c r="S145" s="48">
        <v>8102.9149295775096</v>
      </c>
      <c r="T145" s="51"/>
      <c r="U145" s="51">
        <v>0</v>
      </c>
      <c r="V145" s="51">
        <f t="shared" si="19"/>
        <v>8102.9149295775096</v>
      </c>
      <c r="W145" s="50">
        <f t="shared" si="22"/>
        <v>0</v>
      </c>
      <c r="X145" s="51"/>
      <c r="Y145" s="50">
        <f t="shared" si="20"/>
        <v>0</v>
      </c>
      <c r="Z145" s="50">
        <f t="shared" si="21"/>
        <v>0</v>
      </c>
      <c r="AA145" s="51">
        <f t="shared" si="23"/>
        <v>0</v>
      </c>
      <c r="AB145" s="51">
        <f t="shared" si="24"/>
        <v>0</v>
      </c>
      <c r="AC145" s="46">
        <v>0.1038</v>
      </c>
      <c r="AD145" s="51"/>
      <c r="AE145" s="76"/>
      <c r="AF145" s="76"/>
      <c r="AG145" s="57">
        <v>0.42</v>
      </c>
    </row>
    <row r="146" spans="1:33" hidden="1" x14ac:dyDescent="0.25">
      <c r="A146" s="81" t="s">
        <v>240</v>
      </c>
      <c r="B146" s="76" t="s">
        <v>71</v>
      </c>
      <c r="C146" s="76" t="s">
        <v>127</v>
      </c>
      <c r="D146" s="76" t="s">
        <v>128</v>
      </c>
      <c r="E146" s="76" t="s">
        <v>131</v>
      </c>
      <c r="F146" s="76" t="s">
        <v>132</v>
      </c>
      <c r="G146" s="76" t="s">
        <v>76</v>
      </c>
      <c r="H146" s="76" t="s">
        <v>77</v>
      </c>
      <c r="I146" s="45" t="s">
        <v>78</v>
      </c>
      <c r="J146" s="76" t="s">
        <v>78</v>
      </c>
      <c r="K146" s="76" t="s">
        <v>3</v>
      </c>
      <c r="L146" s="76" t="s">
        <v>125</v>
      </c>
      <c r="M146" s="76"/>
      <c r="N146" s="44" t="s">
        <v>126</v>
      </c>
      <c r="O146" s="76" t="s">
        <v>94</v>
      </c>
      <c r="P146" s="57">
        <v>0.03</v>
      </c>
      <c r="Q146" s="76"/>
      <c r="R146" s="76"/>
      <c r="S146" s="48">
        <v>655.37999999978604</v>
      </c>
      <c r="T146" s="51"/>
      <c r="U146" s="51">
        <v>0</v>
      </c>
      <c r="V146" s="51">
        <f t="shared" si="19"/>
        <v>655.37999999978604</v>
      </c>
      <c r="W146" s="50">
        <f t="shared" si="22"/>
        <v>0</v>
      </c>
      <c r="X146" s="51"/>
      <c r="Y146" s="50">
        <f t="shared" si="20"/>
        <v>0</v>
      </c>
      <c r="Z146" s="50">
        <f t="shared" si="21"/>
        <v>0</v>
      </c>
      <c r="AA146" s="51">
        <f t="shared" si="23"/>
        <v>0</v>
      </c>
      <c r="AB146" s="51">
        <f t="shared" si="24"/>
        <v>0</v>
      </c>
      <c r="AC146" s="46">
        <v>0.1038</v>
      </c>
      <c r="AD146" s="51"/>
      <c r="AE146" s="76"/>
      <c r="AF146" s="76"/>
      <c r="AG146" s="57">
        <v>0.42</v>
      </c>
    </row>
    <row r="147" spans="1:33" hidden="1" x14ac:dyDescent="0.25">
      <c r="A147" s="81" t="s">
        <v>240</v>
      </c>
      <c r="B147" s="76" t="s">
        <v>71</v>
      </c>
      <c r="C147" s="76" t="s">
        <v>127</v>
      </c>
      <c r="D147" s="76" t="s">
        <v>128</v>
      </c>
      <c r="E147" s="76" t="s">
        <v>133</v>
      </c>
      <c r="F147" s="76" t="s">
        <v>134</v>
      </c>
      <c r="G147" s="76" t="s">
        <v>76</v>
      </c>
      <c r="H147" s="76" t="s">
        <v>77</v>
      </c>
      <c r="I147" s="45" t="s">
        <v>78</v>
      </c>
      <c r="J147" s="76" t="s">
        <v>78</v>
      </c>
      <c r="K147" s="76" t="s">
        <v>3</v>
      </c>
      <c r="L147" s="76" t="s">
        <v>125</v>
      </c>
      <c r="M147" s="76"/>
      <c r="N147" s="44" t="s">
        <v>126</v>
      </c>
      <c r="O147" s="76" t="s">
        <v>94</v>
      </c>
      <c r="P147" s="57">
        <v>0.22</v>
      </c>
      <c r="Q147" s="76"/>
      <c r="R147" s="76"/>
      <c r="S147" s="48">
        <v>354.84000000002601</v>
      </c>
      <c r="T147" s="51"/>
      <c r="U147" s="51">
        <v>0</v>
      </c>
      <c r="V147" s="51">
        <f t="shared" si="19"/>
        <v>354.84000000002601</v>
      </c>
      <c r="W147" s="50">
        <f t="shared" si="22"/>
        <v>0</v>
      </c>
      <c r="X147" s="51"/>
      <c r="Y147" s="50">
        <f t="shared" si="20"/>
        <v>0</v>
      </c>
      <c r="Z147" s="50">
        <f t="shared" si="21"/>
        <v>0</v>
      </c>
      <c r="AA147" s="51">
        <f t="shared" si="23"/>
        <v>0</v>
      </c>
      <c r="AB147" s="51">
        <f t="shared" si="24"/>
        <v>0</v>
      </c>
      <c r="AC147" s="46">
        <v>0.1038</v>
      </c>
      <c r="AD147" s="51"/>
      <c r="AE147" s="76"/>
      <c r="AF147" s="76"/>
      <c r="AG147" s="57">
        <v>0.42</v>
      </c>
    </row>
    <row r="148" spans="1:33" hidden="1" x14ac:dyDescent="0.25">
      <c r="A148" s="81" t="s">
        <v>240</v>
      </c>
      <c r="B148" s="76" t="s">
        <v>71</v>
      </c>
      <c r="C148" s="76" t="s">
        <v>127</v>
      </c>
      <c r="D148" s="76" t="s">
        <v>128</v>
      </c>
      <c r="E148" s="76" t="s">
        <v>135</v>
      </c>
      <c r="F148" s="76" t="s">
        <v>136</v>
      </c>
      <c r="G148" s="76" t="s">
        <v>76</v>
      </c>
      <c r="H148" s="76" t="s">
        <v>77</v>
      </c>
      <c r="I148" s="45" t="s">
        <v>78</v>
      </c>
      <c r="J148" s="76" t="s">
        <v>78</v>
      </c>
      <c r="K148" s="76" t="s">
        <v>3</v>
      </c>
      <c r="L148" s="76" t="s">
        <v>125</v>
      </c>
      <c r="M148" s="76"/>
      <c r="N148" s="44" t="s">
        <v>126</v>
      </c>
      <c r="O148" s="76" t="s">
        <v>94</v>
      </c>
      <c r="P148" s="57">
        <v>0.08</v>
      </c>
      <c r="Q148" s="76"/>
      <c r="R148" s="76"/>
      <c r="S148" s="48">
        <v>0</v>
      </c>
      <c r="T148" s="51"/>
      <c r="U148" s="51">
        <v>0</v>
      </c>
      <c r="V148" s="51">
        <f t="shared" si="19"/>
        <v>0</v>
      </c>
      <c r="W148" s="50">
        <f t="shared" si="22"/>
        <v>0</v>
      </c>
      <c r="X148" s="51"/>
      <c r="Y148" s="50">
        <f t="shared" si="20"/>
        <v>0</v>
      </c>
      <c r="Z148" s="50">
        <f t="shared" si="21"/>
        <v>0</v>
      </c>
      <c r="AA148" s="51">
        <f t="shared" si="23"/>
        <v>0</v>
      </c>
      <c r="AB148" s="51">
        <f t="shared" si="24"/>
        <v>0</v>
      </c>
      <c r="AC148" s="46">
        <v>0.1038</v>
      </c>
      <c r="AD148" s="51"/>
      <c r="AE148" s="76"/>
      <c r="AF148" s="76"/>
      <c r="AG148" s="57" t="s">
        <v>137</v>
      </c>
    </row>
    <row r="149" spans="1:33" hidden="1" x14ac:dyDescent="0.25">
      <c r="A149" s="81" t="s">
        <v>240</v>
      </c>
      <c r="B149" s="76" t="s">
        <v>71</v>
      </c>
      <c r="C149" s="76" t="s">
        <v>127</v>
      </c>
      <c r="D149" s="76" t="s">
        <v>128</v>
      </c>
      <c r="E149" s="76" t="s">
        <v>138</v>
      </c>
      <c r="F149" s="76" t="s">
        <v>139</v>
      </c>
      <c r="G149" s="76" t="s">
        <v>76</v>
      </c>
      <c r="H149" s="76" t="s">
        <v>77</v>
      </c>
      <c r="I149" s="45" t="s">
        <v>78</v>
      </c>
      <c r="J149" s="76" t="s">
        <v>78</v>
      </c>
      <c r="K149" s="76" t="s">
        <v>3</v>
      </c>
      <c r="L149" s="76" t="s">
        <v>125</v>
      </c>
      <c r="M149" s="76"/>
      <c r="N149" s="44" t="s">
        <v>126</v>
      </c>
      <c r="O149" s="76" t="s">
        <v>94</v>
      </c>
      <c r="P149" s="57">
        <v>0.04</v>
      </c>
      <c r="Q149" s="76"/>
      <c r="R149" s="76"/>
      <c r="S149" s="48">
        <v>227.30774647876399</v>
      </c>
      <c r="T149" s="51"/>
      <c r="U149" s="51">
        <v>0</v>
      </c>
      <c r="V149" s="51">
        <f t="shared" si="19"/>
        <v>227.30774647876399</v>
      </c>
      <c r="W149" s="50">
        <f t="shared" si="22"/>
        <v>0</v>
      </c>
      <c r="X149" s="51"/>
      <c r="Y149" s="50">
        <f t="shared" si="20"/>
        <v>0</v>
      </c>
      <c r="Z149" s="50">
        <f t="shared" si="21"/>
        <v>0</v>
      </c>
      <c r="AA149" s="51">
        <f t="shared" si="23"/>
        <v>0</v>
      </c>
      <c r="AB149" s="51">
        <f t="shared" si="24"/>
        <v>0</v>
      </c>
      <c r="AC149" s="46">
        <v>0.1038</v>
      </c>
      <c r="AD149" s="51"/>
      <c r="AE149" s="76"/>
      <c r="AF149" s="76"/>
      <c r="AG149" s="57">
        <v>0.42</v>
      </c>
    </row>
    <row r="150" spans="1:33" hidden="1" x14ac:dyDescent="0.25">
      <c r="A150" s="81" t="s">
        <v>240</v>
      </c>
      <c r="B150" s="76" t="s">
        <v>71</v>
      </c>
      <c r="C150" s="76" t="s">
        <v>127</v>
      </c>
      <c r="D150" s="76" t="s">
        <v>128</v>
      </c>
      <c r="E150" s="76" t="s">
        <v>123</v>
      </c>
      <c r="F150" s="76" t="s">
        <v>140</v>
      </c>
      <c r="G150" s="76" t="s">
        <v>76</v>
      </c>
      <c r="H150" s="76" t="s">
        <v>77</v>
      </c>
      <c r="I150" s="45" t="s">
        <v>78</v>
      </c>
      <c r="J150" s="76" t="s">
        <v>78</v>
      </c>
      <c r="K150" s="76" t="s">
        <v>3</v>
      </c>
      <c r="L150" s="76" t="s">
        <v>125</v>
      </c>
      <c r="M150" s="76"/>
      <c r="N150" s="44" t="s">
        <v>126</v>
      </c>
      <c r="O150" s="76" t="s">
        <v>94</v>
      </c>
      <c r="P150" s="57">
        <v>0.23</v>
      </c>
      <c r="Q150" s="76"/>
      <c r="R150" s="76"/>
      <c r="S150" s="48">
        <v>152.264929577999</v>
      </c>
      <c r="T150" s="51"/>
      <c r="U150" s="51">
        <v>0</v>
      </c>
      <c r="V150" s="51">
        <f t="shared" si="19"/>
        <v>152.264929577999</v>
      </c>
      <c r="W150" s="50">
        <f t="shared" si="22"/>
        <v>0</v>
      </c>
      <c r="X150" s="51"/>
      <c r="Y150" s="50">
        <f t="shared" si="20"/>
        <v>0</v>
      </c>
      <c r="Z150" s="50">
        <f t="shared" si="21"/>
        <v>0</v>
      </c>
      <c r="AA150" s="51">
        <f t="shared" si="23"/>
        <v>0</v>
      </c>
      <c r="AB150" s="51">
        <f t="shared" si="24"/>
        <v>0</v>
      </c>
      <c r="AC150" s="46">
        <v>0.1038</v>
      </c>
      <c r="AD150" s="51"/>
      <c r="AE150" s="76"/>
      <c r="AF150" s="76"/>
      <c r="AG150" s="57" t="s">
        <v>137</v>
      </c>
    </row>
    <row r="151" spans="1:33" hidden="1" x14ac:dyDescent="0.25">
      <c r="A151" s="81" t="s">
        <v>240</v>
      </c>
      <c r="B151" s="76" t="s">
        <v>71</v>
      </c>
      <c r="C151" s="76" t="s">
        <v>127</v>
      </c>
      <c r="D151" s="76" t="s">
        <v>128</v>
      </c>
      <c r="E151" s="76" t="s">
        <v>141</v>
      </c>
      <c r="F151" s="76" t="s">
        <v>142</v>
      </c>
      <c r="G151" s="76" t="s">
        <v>76</v>
      </c>
      <c r="H151" s="76" t="s">
        <v>77</v>
      </c>
      <c r="I151" s="45" t="s">
        <v>78</v>
      </c>
      <c r="J151" s="76" t="s">
        <v>78</v>
      </c>
      <c r="K151" s="76" t="s">
        <v>3</v>
      </c>
      <c r="L151" s="76" t="s">
        <v>125</v>
      </c>
      <c r="M151" s="76"/>
      <c r="N151" s="44" t="s">
        <v>126</v>
      </c>
      <c r="O151" s="76" t="s">
        <v>94</v>
      </c>
      <c r="P151" s="57">
        <v>0.13</v>
      </c>
      <c r="Q151" s="76"/>
      <c r="R151" s="76"/>
      <c r="S151" s="48">
        <v>-30329.470000000099</v>
      </c>
      <c r="T151" s="51"/>
      <c r="U151" s="51">
        <v>0</v>
      </c>
      <c r="V151" s="51">
        <f t="shared" si="19"/>
        <v>-30329.470000000099</v>
      </c>
      <c r="W151" s="50">
        <f t="shared" si="22"/>
        <v>0</v>
      </c>
      <c r="X151" s="51"/>
      <c r="Y151" s="50">
        <f t="shared" si="20"/>
        <v>0</v>
      </c>
      <c r="Z151" s="50">
        <f t="shared" si="21"/>
        <v>0</v>
      </c>
      <c r="AA151" s="51">
        <f t="shared" si="23"/>
        <v>0</v>
      </c>
      <c r="AB151" s="51">
        <f t="shared" si="24"/>
        <v>0</v>
      </c>
      <c r="AC151" s="46">
        <v>0.1038</v>
      </c>
      <c r="AD151" s="51"/>
      <c r="AE151" s="76"/>
      <c r="AF151" s="76"/>
      <c r="AG151" s="57" t="s">
        <v>137</v>
      </c>
    </row>
    <row r="152" spans="1:33" hidden="1" x14ac:dyDescent="0.25">
      <c r="A152" s="81" t="s">
        <v>240</v>
      </c>
      <c r="B152" s="76" t="s">
        <v>71</v>
      </c>
      <c r="C152" s="76" t="s">
        <v>127</v>
      </c>
      <c r="D152" s="76" t="s">
        <v>128</v>
      </c>
      <c r="E152" s="76" t="s">
        <v>143</v>
      </c>
      <c r="F152" s="76" t="s">
        <v>144</v>
      </c>
      <c r="G152" s="76" t="s">
        <v>76</v>
      </c>
      <c r="H152" s="76" t="s">
        <v>77</v>
      </c>
      <c r="I152" s="45" t="s">
        <v>78</v>
      </c>
      <c r="J152" s="76" t="s">
        <v>78</v>
      </c>
      <c r="K152" s="76" t="s">
        <v>3</v>
      </c>
      <c r="L152" s="76" t="s">
        <v>125</v>
      </c>
      <c r="M152" s="76"/>
      <c r="N152" s="44" t="s">
        <v>126</v>
      </c>
      <c r="O152" s="76" t="s">
        <v>94</v>
      </c>
      <c r="P152" s="57">
        <v>0.03</v>
      </c>
      <c r="Q152" s="76"/>
      <c r="R152" s="76"/>
      <c r="S152" s="48">
        <v>425.555211267598</v>
      </c>
      <c r="T152" s="51"/>
      <c r="U152" s="51">
        <v>0</v>
      </c>
      <c r="V152" s="51">
        <f t="shared" si="19"/>
        <v>425.555211267598</v>
      </c>
      <c r="W152" s="50">
        <f t="shared" si="22"/>
        <v>0</v>
      </c>
      <c r="X152" s="51"/>
      <c r="Y152" s="50">
        <f t="shared" si="20"/>
        <v>0</v>
      </c>
      <c r="Z152" s="50">
        <f t="shared" si="21"/>
        <v>0</v>
      </c>
      <c r="AA152" s="51">
        <f t="shared" si="23"/>
        <v>0</v>
      </c>
      <c r="AB152" s="51">
        <f t="shared" si="24"/>
        <v>0</v>
      </c>
      <c r="AC152" s="46">
        <v>0.1038</v>
      </c>
      <c r="AD152" s="51"/>
      <c r="AE152" s="76"/>
      <c r="AF152" s="76"/>
      <c r="AG152" s="57">
        <v>0.42</v>
      </c>
    </row>
    <row r="153" spans="1:33" hidden="1" x14ac:dyDescent="0.25">
      <c r="A153" s="81" t="s">
        <v>240</v>
      </c>
      <c r="B153" s="76" t="s">
        <v>71</v>
      </c>
      <c r="C153" s="76" t="s">
        <v>127</v>
      </c>
      <c r="D153" s="76" t="s">
        <v>128</v>
      </c>
      <c r="E153" s="76" t="s">
        <v>145</v>
      </c>
      <c r="F153" s="76" t="s">
        <v>146</v>
      </c>
      <c r="G153" s="76" t="s">
        <v>76</v>
      </c>
      <c r="H153" s="76" t="s">
        <v>77</v>
      </c>
      <c r="I153" s="45" t="s">
        <v>78</v>
      </c>
      <c r="J153" s="76" t="s">
        <v>78</v>
      </c>
      <c r="K153" s="76" t="s">
        <v>3</v>
      </c>
      <c r="L153" s="76" t="s">
        <v>125</v>
      </c>
      <c r="M153" s="76"/>
      <c r="N153" s="44" t="s">
        <v>126</v>
      </c>
      <c r="O153" s="76" t="s">
        <v>94</v>
      </c>
      <c r="P153" s="57">
        <v>0.22</v>
      </c>
      <c r="Q153" s="76"/>
      <c r="R153" s="76"/>
      <c r="S153" s="48">
        <v>1402.38690140774</v>
      </c>
      <c r="T153" s="51"/>
      <c r="U153" s="51">
        <v>0</v>
      </c>
      <c r="V153" s="51">
        <f t="shared" si="19"/>
        <v>1402.38690140774</v>
      </c>
      <c r="W153" s="50">
        <f t="shared" si="22"/>
        <v>0</v>
      </c>
      <c r="X153" s="51"/>
      <c r="Y153" s="50">
        <f t="shared" si="20"/>
        <v>0</v>
      </c>
      <c r="Z153" s="50">
        <f t="shared" si="21"/>
        <v>0</v>
      </c>
      <c r="AA153" s="51">
        <f t="shared" si="23"/>
        <v>0</v>
      </c>
      <c r="AB153" s="51">
        <f t="shared" si="24"/>
        <v>0</v>
      </c>
      <c r="AC153" s="46">
        <v>0.1038</v>
      </c>
      <c r="AD153" s="51"/>
      <c r="AE153" s="76"/>
      <c r="AF153" s="76"/>
      <c r="AG153" s="57">
        <v>0.42</v>
      </c>
    </row>
    <row r="154" spans="1:33" hidden="1" x14ac:dyDescent="0.25">
      <c r="A154" s="81" t="s">
        <v>240</v>
      </c>
      <c r="B154" s="76" t="s">
        <v>71</v>
      </c>
      <c r="C154" s="76" t="s">
        <v>127</v>
      </c>
      <c r="D154" s="76" t="s">
        <v>128</v>
      </c>
      <c r="E154" s="76" t="s">
        <v>147</v>
      </c>
      <c r="F154" s="76" t="s">
        <v>148</v>
      </c>
      <c r="G154" s="76" t="s">
        <v>76</v>
      </c>
      <c r="H154" s="76" t="s">
        <v>77</v>
      </c>
      <c r="I154" s="45" t="s">
        <v>78</v>
      </c>
      <c r="J154" s="76" t="s">
        <v>78</v>
      </c>
      <c r="K154" s="76" t="s">
        <v>3</v>
      </c>
      <c r="L154" s="76" t="s">
        <v>125</v>
      </c>
      <c r="M154" s="76"/>
      <c r="N154" s="44" t="s">
        <v>126</v>
      </c>
      <c r="O154" s="76" t="s">
        <v>94</v>
      </c>
      <c r="P154" s="57">
        <v>0.23</v>
      </c>
      <c r="Q154" s="76"/>
      <c r="R154" s="76"/>
      <c r="S154" s="48">
        <v>12961.68</v>
      </c>
      <c r="T154" s="51"/>
      <c r="U154" s="51">
        <v>0</v>
      </c>
      <c r="V154" s="51">
        <f t="shared" si="19"/>
        <v>12961.68</v>
      </c>
      <c r="W154" s="50">
        <f t="shared" si="22"/>
        <v>0</v>
      </c>
      <c r="X154" s="51"/>
      <c r="Y154" s="50">
        <f t="shared" si="20"/>
        <v>0</v>
      </c>
      <c r="Z154" s="50">
        <f t="shared" si="21"/>
        <v>0</v>
      </c>
      <c r="AA154" s="51">
        <f t="shared" si="23"/>
        <v>0</v>
      </c>
      <c r="AB154" s="51">
        <f t="shared" si="24"/>
        <v>0</v>
      </c>
      <c r="AC154" s="46">
        <v>0.1038</v>
      </c>
      <c r="AD154" s="51"/>
      <c r="AE154" s="76"/>
      <c r="AF154" s="76"/>
      <c r="AG154" s="57">
        <v>0.42</v>
      </c>
    </row>
    <row r="155" spans="1:33" hidden="1" x14ac:dyDescent="0.25">
      <c r="A155" s="81" t="s">
        <v>240</v>
      </c>
      <c r="B155" s="76" t="s">
        <v>71</v>
      </c>
      <c r="C155" s="76" t="s">
        <v>127</v>
      </c>
      <c r="D155" s="76" t="s">
        <v>128</v>
      </c>
      <c r="E155" s="76" t="s">
        <v>149</v>
      </c>
      <c r="F155" s="76" t="s">
        <v>150</v>
      </c>
      <c r="G155" s="76" t="s">
        <v>76</v>
      </c>
      <c r="H155" s="76" t="s">
        <v>77</v>
      </c>
      <c r="I155" s="45" t="s">
        <v>78</v>
      </c>
      <c r="J155" s="76" t="s">
        <v>78</v>
      </c>
      <c r="K155" s="76" t="s">
        <v>3</v>
      </c>
      <c r="L155" s="76" t="s">
        <v>125</v>
      </c>
      <c r="M155" s="76"/>
      <c r="N155" s="44" t="s">
        <v>126</v>
      </c>
      <c r="O155" s="76" t="s">
        <v>94</v>
      </c>
      <c r="P155" s="57">
        <v>0.13</v>
      </c>
      <c r="Q155" s="76"/>
      <c r="R155" s="76"/>
      <c r="S155" s="48">
        <v>143.460985915328</v>
      </c>
      <c r="T155" s="51"/>
      <c r="U155" s="51">
        <v>0</v>
      </c>
      <c r="V155" s="51">
        <f t="shared" si="19"/>
        <v>143.460985915328</v>
      </c>
      <c r="W155" s="50">
        <f t="shared" si="22"/>
        <v>0</v>
      </c>
      <c r="X155" s="51"/>
      <c r="Y155" s="50">
        <f t="shared" si="20"/>
        <v>0</v>
      </c>
      <c r="Z155" s="50">
        <f t="shared" si="21"/>
        <v>0</v>
      </c>
      <c r="AA155" s="51">
        <f t="shared" si="23"/>
        <v>0</v>
      </c>
      <c r="AB155" s="51">
        <f t="shared" si="24"/>
        <v>0</v>
      </c>
      <c r="AC155" s="46">
        <v>0.1038</v>
      </c>
      <c r="AD155" s="51"/>
      <c r="AE155" s="76"/>
      <c r="AF155" s="76"/>
      <c r="AG155" s="57">
        <v>0.42</v>
      </c>
    </row>
    <row r="156" spans="1:33" hidden="1" x14ac:dyDescent="0.25">
      <c r="A156" s="81" t="s">
        <v>240</v>
      </c>
      <c r="B156" s="76" t="s">
        <v>71</v>
      </c>
      <c r="C156" s="76" t="s">
        <v>127</v>
      </c>
      <c r="D156" s="76" t="s">
        <v>128</v>
      </c>
      <c r="E156" s="76" t="s">
        <v>151</v>
      </c>
      <c r="F156" s="76" t="s">
        <v>152</v>
      </c>
      <c r="G156" s="76" t="s">
        <v>76</v>
      </c>
      <c r="H156" s="76" t="s">
        <v>77</v>
      </c>
      <c r="I156" s="45" t="s">
        <v>78</v>
      </c>
      <c r="J156" s="76" t="s">
        <v>78</v>
      </c>
      <c r="K156" s="76" t="s">
        <v>3</v>
      </c>
      <c r="L156" s="76" t="s">
        <v>125</v>
      </c>
      <c r="M156" s="76"/>
      <c r="N156" s="44" t="s">
        <v>126</v>
      </c>
      <c r="O156" s="76" t="s">
        <v>94</v>
      </c>
      <c r="P156" s="46">
        <v>0.23</v>
      </c>
      <c r="Q156" s="76"/>
      <c r="R156" s="76"/>
      <c r="S156" s="48">
        <v>2063.5353521120301</v>
      </c>
      <c r="T156" s="51"/>
      <c r="U156" s="51">
        <v>0</v>
      </c>
      <c r="V156" s="51">
        <f t="shared" si="19"/>
        <v>2063.5353521120301</v>
      </c>
      <c r="W156" s="50">
        <f t="shared" si="22"/>
        <v>0</v>
      </c>
      <c r="X156" s="51"/>
      <c r="Y156" s="50">
        <f t="shared" si="20"/>
        <v>0</v>
      </c>
      <c r="Z156" s="50">
        <f t="shared" si="21"/>
        <v>0</v>
      </c>
      <c r="AA156" s="51">
        <f t="shared" si="23"/>
        <v>0</v>
      </c>
      <c r="AB156" s="51">
        <f t="shared" si="24"/>
        <v>0</v>
      </c>
      <c r="AC156" s="46">
        <v>0.1038</v>
      </c>
      <c r="AD156" s="51"/>
      <c r="AE156" s="76"/>
      <c r="AF156" s="76"/>
      <c r="AG156" s="57">
        <v>0.42</v>
      </c>
    </row>
    <row r="157" spans="1:33" hidden="1" x14ac:dyDescent="0.25">
      <c r="A157" s="81" t="s">
        <v>240</v>
      </c>
      <c r="B157" s="76" t="s">
        <v>71</v>
      </c>
      <c r="C157" s="76" t="s">
        <v>127</v>
      </c>
      <c r="D157" s="76" t="s">
        <v>153</v>
      </c>
      <c r="E157" s="76" t="s">
        <v>154</v>
      </c>
      <c r="F157" s="76" t="s">
        <v>155</v>
      </c>
      <c r="G157" s="76" t="s">
        <v>76</v>
      </c>
      <c r="H157" s="76" t="s">
        <v>77</v>
      </c>
      <c r="I157" s="45" t="s">
        <v>78</v>
      </c>
      <c r="J157" s="76" t="s">
        <v>78</v>
      </c>
      <c r="K157" s="76" t="s">
        <v>3</v>
      </c>
      <c r="L157" s="76" t="s">
        <v>125</v>
      </c>
      <c r="M157" s="76"/>
      <c r="N157" s="44" t="s">
        <v>126</v>
      </c>
      <c r="O157" s="76" t="s">
        <v>94</v>
      </c>
      <c r="P157" s="57">
        <v>0.18</v>
      </c>
      <c r="Q157" s="76"/>
      <c r="R157" s="76"/>
      <c r="S157" s="48">
        <v>114142.344929578</v>
      </c>
      <c r="T157" s="51"/>
      <c r="U157" s="51">
        <v>0</v>
      </c>
      <c r="V157" s="51">
        <f t="shared" si="19"/>
        <v>114142.344929578</v>
      </c>
      <c r="W157" s="50">
        <f t="shared" si="22"/>
        <v>0</v>
      </c>
      <c r="X157" s="51"/>
      <c r="Y157" s="50">
        <f t="shared" si="20"/>
        <v>0</v>
      </c>
      <c r="Z157" s="50">
        <f t="shared" si="21"/>
        <v>0</v>
      </c>
      <c r="AA157" s="51">
        <f t="shared" si="23"/>
        <v>0</v>
      </c>
      <c r="AB157" s="51">
        <f t="shared" si="24"/>
        <v>0</v>
      </c>
      <c r="AC157" s="46">
        <v>0.1038</v>
      </c>
      <c r="AD157" s="51"/>
      <c r="AE157" s="76"/>
      <c r="AF157" s="76"/>
      <c r="AG157" s="57">
        <v>0.42</v>
      </c>
    </row>
    <row r="158" spans="1:33" hidden="1" x14ac:dyDescent="0.25">
      <c r="A158" s="81" t="s">
        <v>240</v>
      </c>
      <c r="B158" s="76" t="s">
        <v>71</v>
      </c>
      <c r="C158" s="76" t="s">
        <v>127</v>
      </c>
      <c r="D158" s="76" t="s">
        <v>153</v>
      </c>
      <c r="E158" s="76" t="s">
        <v>125</v>
      </c>
      <c r="F158" s="76" t="s">
        <v>156</v>
      </c>
      <c r="G158" s="76" t="s">
        <v>76</v>
      </c>
      <c r="H158" s="76" t="s">
        <v>77</v>
      </c>
      <c r="I158" s="45" t="s">
        <v>78</v>
      </c>
      <c r="J158" s="76" t="s">
        <v>78</v>
      </c>
      <c r="K158" s="76" t="s">
        <v>3</v>
      </c>
      <c r="L158" s="76" t="s">
        <v>125</v>
      </c>
      <c r="M158" s="76"/>
      <c r="N158" s="44" t="s">
        <v>126</v>
      </c>
      <c r="O158" s="76" t="s">
        <v>94</v>
      </c>
      <c r="P158" s="57">
        <v>0.08</v>
      </c>
      <c r="Q158" s="76"/>
      <c r="R158" s="76"/>
      <c r="S158" s="48">
        <v>29897.39</v>
      </c>
      <c r="T158" s="51"/>
      <c r="U158" s="51">
        <v>0</v>
      </c>
      <c r="V158" s="51">
        <f t="shared" si="19"/>
        <v>29897.39</v>
      </c>
      <c r="W158" s="50">
        <f t="shared" si="22"/>
        <v>0</v>
      </c>
      <c r="X158" s="51"/>
      <c r="Y158" s="50">
        <f t="shared" si="20"/>
        <v>0</v>
      </c>
      <c r="Z158" s="50">
        <f t="shared" si="21"/>
        <v>0</v>
      </c>
      <c r="AA158" s="51">
        <f t="shared" si="23"/>
        <v>0</v>
      </c>
      <c r="AB158" s="51">
        <f t="shared" si="24"/>
        <v>0</v>
      </c>
      <c r="AC158" s="46">
        <v>0.1038</v>
      </c>
      <c r="AD158" s="51"/>
      <c r="AE158" s="76"/>
      <c r="AF158" s="76"/>
      <c r="AG158" s="57">
        <v>0.42</v>
      </c>
    </row>
    <row r="159" spans="1:33" hidden="1" x14ac:dyDescent="0.25">
      <c r="A159" s="81" t="s">
        <v>240</v>
      </c>
      <c r="B159" s="76" t="s">
        <v>71</v>
      </c>
      <c r="C159" s="76" t="s">
        <v>127</v>
      </c>
      <c r="D159" s="76" t="s">
        <v>153</v>
      </c>
      <c r="E159" s="76" t="s">
        <v>157</v>
      </c>
      <c r="F159" s="76" t="s">
        <v>158</v>
      </c>
      <c r="G159" s="76" t="s">
        <v>76</v>
      </c>
      <c r="H159" s="76" t="s">
        <v>77</v>
      </c>
      <c r="I159" s="45" t="s">
        <v>78</v>
      </c>
      <c r="J159" s="76" t="s">
        <v>78</v>
      </c>
      <c r="K159" s="76" t="s">
        <v>3</v>
      </c>
      <c r="L159" s="76" t="s">
        <v>125</v>
      </c>
      <c r="M159" s="76"/>
      <c r="N159" s="44" t="s">
        <v>126</v>
      </c>
      <c r="O159" s="76" t="s">
        <v>94</v>
      </c>
      <c r="P159" s="57">
        <v>0.08</v>
      </c>
      <c r="Q159" s="76"/>
      <c r="R159" s="76"/>
      <c r="S159" s="48">
        <v>20014.111126760599</v>
      </c>
      <c r="T159" s="51"/>
      <c r="U159" s="51">
        <v>0</v>
      </c>
      <c r="V159" s="51">
        <f t="shared" si="19"/>
        <v>20014.111126760599</v>
      </c>
      <c r="W159" s="50">
        <f t="shared" si="22"/>
        <v>0</v>
      </c>
      <c r="X159" s="51"/>
      <c r="Y159" s="50">
        <f t="shared" si="20"/>
        <v>0</v>
      </c>
      <c r="Z159" s="50">
        <f t="shared" si="21"/>
        <v>0</v>
      </c>
      <c r="AA159" s="51">
        <f t="shared" si="23"/>
        <v>0</v>
      </c>
      <c r="AB159" s="51">
        <f t="shared" si="24"/>
        <v>0</v>
      </c>
      <c r="AC159" s="46">
        <v>0.1038</v>
      </c>
      <c r="AD159" s="51"/>
      <c r="AE159" s="76"/>
      <c r="AF159" s="76"/>
      <c r="AG159" s="57">
        <v>0.42</v>
      </c>
    </row>
    <row r="160" spans="1:33" hidden="1" x14ac:dyDescent="0.25">
      <c r="A160" s="81" t="s">
        <v>240</v>
      </c>
      <c r="B160" s="76" t="s">
        <v>71</v>
      </c>
      <c r="C160" s="76" t="s">
        <v>127</v>
      </c>
      <c r="D160" s="76" t="s">
        <v>153</v>
      </c>
      <c r="E160" s="76" t="s">
        <v>159</v>
      </c>
      <c r="F160" s="76" t="s">
        <v>160</v>
      </c>
      <c r="G160" s="76" t="s">
        <v>76</v>
      </c>
      <c r="H160" s="76" t="s">
        <v>77</v>
      </c>
      <c r="I160" s="45" t="s">
        <v>78</v>
      </c>
      <c r="J160" s="76" t="s">
        <v>78</v>
      </c>
      <c r="K160" s="76" t="s">
        <v>3</v>
      </c>
      <c r="L160" s="76" t="s">
        <v>125</v>
      </c>
      <c r="M160" s="76"/>
      <c r="N160" s="44" t="s">
        <v>126</v>
      </c>
      <c r="O160" s="76" t="s">
        <v>94</v>
      </c>
      <c r="P160" s="57">
        <v>0.04</v>
      </c>
      <c r="Q160" s="76"/>
      <c r="R160" s="76"/>
      <c r="S160" s="48">
        <v>322.47394365991897</v>
      </c>
      <c r="T160" s="51"/>
      <c r="U160" s="51">
        <v>0</v>
      </c>
      <c r="V160" s="51">
        <f t="shared" si="19"/>
        <v>322.47394365991897</v>
      </c>
      <c r="W160" s="50">
        <f t="shared" si="22"/>
        <v>0</v>
      </c>
      <c r="X160" s="51"/>
      <c r="Y160" s="50">
        <f t="shared" si="20"/>
        <v>0</v>
      </c>
      <c r="Z160" s="50">
        <f t="shared" si="21"/>
        <v>0</v>
      </c>
      <c r="AA160" s="51">
        <f t="shared" si="23"/>
        <v>0</v>
      </c>
      <c r="AB160" s="51">
        <f t="shared" si="24"/>
        <v>0</v>
      </c>
      <c r="AC160" s="46">
        <v>0.1038</v>
      </c>
      <c r="AD160" s="51"/>
      <c r="AE160" s="76"/>
      <c r="AF160" s="76"/>
      <c r="AG160" s="57">
        <v>0.42</v>
      </c>
    </row>
    <row r="161" spans="1:33" hidden="1" x14ac:dyDescent="0.25">
      <c r="A161" s="81" t="s">
        <v>240</v>
      </c>
      <c r="B161" s="76" t="s">
        <v>71</v>
      </c>
      <c r="C161" s="76" t="s">
        <v>127</v>
      </c>
      <c r="D161" s="76" t="s">
        <v>153</v>
      </c>
      <c r="E161" s="76" t="s">
        <v>161</v>
      </c>
      <c r="F161" s="76" t="s">
        <v>162</v>
      </c>
      <c r="G161" s="76" t="s">
        <v>76</v>
      </c>
      <c r="H161" s="76" t="s">
        <v>77</v>
      </c>
      <c r="I161" s="45" t="s">
        <v>78</v>
      </c>
      <c r="J161" s="76" t="s">
        <v>78</v>
      </c>
      <c r="K161" s="76" t="s">
        <v>3</v>
      </c>
      <c r="L161" s="76" t="s">
        <v>125</v>
      </c>
      <c r="M161" s="76"/>
      <c r="N161" s="44" t="s">
        <v>126</v>
      </c>
      <c r="O161" s="76" t="s">
        <v>94</v>
      </c>
      <c r="P161" s="57">
        <v>0.23</v>
      </c>
      <c r="Q161" s="76"/>
      <c r="R161" s="76"/>
      <c r="S161" s="48">
        <v>196.54507042269699</v>
      </c>
      <c r="T161" s="51"/>
      <c r="U161" s="51">
        <v>0</v>
      </c>
      <c r="V161" s="51">
        <f t="shared" si="19"/>
        <v>196.54507042269699</v>
      </c>
      <c r="W161" s="50">
        <f t="shared" si="22"/>
        <v>0</v>
      </c>
      <c r="X161" s="51"/>
      <c r="Y161" s="50">
        <f t="shared" si="20"/>
        <v>0</v>
      </c>
      <c r="Z161" s="50">
        <f t="shared" si="21"/>
        <v>0</v>
      </c>
      <c r="AA161" s="51">
        <f t="shared" si="23"/>
        <v>0</v>
      </c>
      <c r="AB161" s="51">
        <f t="shared" si="24"/>
        <v>0</v>
      </c>
      <c r="AC161" s="46">
        <v>0.1038</v>
      </c>
      <c r="AD161" s="51"/>
      <c r="AE161" s="76"/>
      <c r="AF161" s="76"/>
      <c r="AG161" s="57">
        <v>0.42</v>
      </c>
    </row>
    <row r="162" spans="1:33" hidden="1" x14ac:dyDescent="0.25">
      <c r="A162" s="81" t="s">
        <v>240</v>
      </c>
      <c r="B162" s="76" t="s">
        <v>71</v>
      </c>
      <c r="C162" s="76" t="s">
        <v>127</v>
      </c>
      <c r="D162" s="76" t="s">
        <v>153</v>
      </c>
      <c r="E162" s="76" t="s">
        <v>163</v>
      </c>
      <c r="F162" s="76" t="s">
        <v>164</v>
      </c>
      <c r="G162" s="76" t="s">
        <v>76</v>
      </c>
      <c r="H162" s="76" t="s">
        <v>77</v>
      </c>
      <c r="I162" s="45" t="s">
        <v>78</v>
      </c>
      <c r="J162" s="76" t="s">
        <v>78</v>
      </c>
      <c r="K162" s="76" t="s">
        <v>3</v>
      </c>
      <c r="L162" s="76" t="s">
        <v>125</v>
      </c>
      <c r="M162" s="76"/>
      <c r="N162" s="44" t="s">
        <v>126</v>
      </c>
      <c r="O162" s="76" t="s">
        <v>94</v>
      </c>
      <c r="P162" s="57">
        <v>0.03</v>
      </c>
      <c r="Q162" s="76"/>
      <c r="R162" s="76"/>
      <c r="S162" s="48">
        <v>1513.0032394366101</v>
      </c>
      <c r="T162" s="51"/>
      <c r="U162" s="51">
        <v>0</v>
      </c>
      <c r="V162" s="51">
        <f t="shared" si="19"/>
        <v>1513.0032394366101</v>
      </c>
      <c r="W162" s="50">
        <f t="shared" si="22"/>
        <v>0</v>
      </c>
      <c r="X162" s="51"/>
      <c r="Y162" s="50">
        <f t="shared" si="20"/>
        <v>0</v>
      </c>
      <c r="Z162" s="50">
        <f t="shared" si="21"/>
        <v>0</v>
      </c>
      <c r="AA162" s="51">
        <f t="shared" si="23"/>
        <v>0</v>
      </c>
      <c r="AB162" s="51">
        <f t="shared" si="24"/>
        <v>0</v>
      </c>
      <c r="AC162" s="46">
        <v>0.1038</v>
      </c>
      <c r="AD162" s="51"/>
      <c r="AE162" s="76"/>
      <c r="AF162" s="76"/>
      <c r="AG162" s="57">
        <v>0.42</v>
      </c>
    </row>
    <row r="163" spans="1:33" hidden="1" x14ac:dyDescent="0.25">
      <c r="A163" s="81" t="s">
        <v>240</v>
      </c>
      <c r="B163" s="76" t="s">
        <v>71</v>
      </c>
      <c r="C163" s="76" t="s">
        <v>127</v>
      </c>
      <c r="D163" s="76" t="s">
        <v>153</v>
      </c>
      <c r="E163" s="76" t="s">
        <v>165</v>
      </c>
      <c r="F163" s="76" t="s">
        <v>166</v>
      </c>
      <c r="G163" s="76" t="s">
        <v>76</v>
      </c>
      <c r="H163" s="76" t="s">
        <v>77</v>
      </c>
      <c r="I163" s="45" t="s">
        <v>78</v>
      </c>
      <c r="J163" s="76" t="s">
        <v>78</v>
      </c>
      <c r="K163" s="76" t="s">
        <v>3</v>
      </c>
      <c r="L163" s="76" t="s">
        <v>125</v>
      </c>
      <c r="M163" s="76"/>
      <c r="N163" s="44" t="s">
        <v>126</v>
      </c>
      <c r="O163" s="76" t="s">
        <v>94</v>
      </c>
      <c r="P163" s="57">
        <v>0.03</v>
      </c>
      <c r="Q163" s="76"/>
      <c r="R163" s="76"/>
      <c r="S163" s="48">
        <v>6504.6216901406997</v>
      </c>
      <c r="T163" s="51"/>
      <c r="U163" s="51">
        <v>0</v>
      </c>
      <c r="V163" s="51">
        <f t="shared" si="19"/>
        <v>6504.6216901406997</v>
      </c>
      <c r="W163" s="50">
        <f t="shared" si="22"/>
        <v>0</v>
      </c>
      <c r="X163" s="51"/>
      <c r="Y163" s="50">
        <f t="shared" si="20"/>
        <v>0</v>
      </c>
      <c r="Z163" s="50">
        <f t="shared" si="21"/>
        <v>0</v>
      </c>
      <c r="AA163" s="51">
        <f t="shared" si="23"/>
        <v>0</v>
      </c>
      <c r="AB163" s="51">
        <f t="shared" si="24"/>
        <v>0</v>
      </c>
      <c r="AC163" s="46">
        <v>0.1038</v>
      </c>
      <c r="AD163" s="51"/>
      <c r="AE163" s="76"/>
      <c r="AF163" s="76"/>
      <c r="AG163" s="57">
        <v>0</v>
      </c>
    </row>
    <row r="164" spans="1:33" hidden="1" x14ac:dyDescent="0.25">
      <c r="A164" s="81" t="s">
        <v>240</v>
      </c>
      <c r="B164" s="76" t="s">
        <v>71</v>
      </c>
      <c r="C164" s="76" t="s">
        <v>127</v>
      </c>
      <c r="D164" s="76" t="s">
        <v>153</v>
      </c>
      <c r="E164" s="76" t="s">
        <v>167</v>
      </c>
      <c r="F164" s="76" t="s">
        <v>168</v>
      </c>
      <c r="G164" s="76" t="s">
        <v>76</v>
      </c>
      <c r="H164" s="76" t="s">
        <v>77</v>
      </c>
      <c r="I164" s="45" t="s">
        <v>78</v>
      </c>
      <c r="J164" s="76" t="s">
        <v>78</v>
      </c>
      <c r="K164" s="76" t="s">
        <v>3</v>
      </c>
      <c r="L164" s="76" t="s">
        <v>125</v>
      </c>
      <c r="M164" s="76"/>
      <c r="N164" s="44" t="s">
        <v>126</v>
      </c>
      <c r="O164" s="76" t="s">
        <v>94</v>
      </c>
      <c r="P164" s="57">
        <v>0.18</v>
      </c>
      <c r="Q164" s="76"/>
      <c r="R164" s="76"/>
      <c r="S164" s="48">
        <v>44820.261970721403</v>
      </c>
      <c r="T164" s="51"/>
      <c r="U164" s="51">
        <v>0</v>
      </c>
      <c r="V164" s="51">
        <f t="shared" si="19"/>
        <v>44820.261970721403</v>
      </c>
      <c r="W164" s="50">
        <f t="shared" si="22"/>
        <v>0</v>
      </c>
      <c r="X164" s="51"/>
      <c r="Y164" s="50">
        <f t="shared" si="20"/>
        <v>0</v>
      </c>
      <c r="Z164" s="50">
        <f t="shared" si="21"/>
        <v>0</v>
      </c>
      <c r="AA164" s="51">
        <f t="shared" si="23"/>
        <v>0</v>
      </c>
      <c r="AB164" s="51">
        <f t="shared" si="24"/>
        <v>0</v>
      </c>
      <c r="AC164" s="46">
        <v>0.1038</v>
      </c>
      <c r="AD164" s="51"/>
      <c r="AE164" s="76"/>
      <c r="AF164" s="76"/>
      <c r="AG164" s="57">
        <v>0.42</v>
      </c>
    </row>
    <row r="165" spans="1:33" hidden="1" x14ac:dyDescent="0.25">
      <c r="A165" s="81" t="s">
        <v>240</v>
      </c>
      <c r="B165" s="76" t="s">
        <v>71</v>
      </c>
      <c r="C165" s="76" t="s">
        <v>127</v>
      </c>
      <c r="D165" s="76" t="s">
        <v>153</v>
      </c>
      <c r="E165" s="76" t="s">
        <v>169</v>
      </c>
      <c r="F165" s="76" t="s">
        <v>170</v>
      </c>
      <c r="G165" s="76" t="s">
        <v>76</v>
      </c>
      <c r="H165" s="76" t="s">
        <v>77</v>
      </c>
      <c r="I165" s="45" t="s">
        <v>78</v>
      </c>
      <c r="J165" s="76" t="s">
        <v>78</v>
      </c>
      <c r="K165" s="76" t="s">
        <v>3</v>
      </c>
      <c r="L165" s="76" t="s">
        <v>125</v>
      </c>
      <c r="M165" s="76"/>
      <c r="N165" s="44" t="s">
        <v>126</v>
      </c>
      <c r="O165" s="76" t="s">
        <v>94</v>
      </c>
      <c r="P165" s="57">
        <v>0.23</v>
      </c>
      <c r="Q165" s="76"/>
      <c r="R165" s="76"/>
      <c r="S165" s="48">
        <v>132154.611549297</v>
      </c>
      <c r="T165" s="51"/>
      <c r="U165" s="51">
        <v>0</v>
      </c>
      <c r="V165" s="51">
        <f t="shared" si="19"/>
        <v>132154.611549297</v>
      </c>
      <c r="W165" s="50">
        <f t="shared" si="22"/>
        <v>0</v>
      </c>
      <c r="X165" s="51"/>
      <c r="Y165" s="50">
        <f t="shared" si="20"/>
        <v>0</v>
      </c>
      <c r="Z165" s="50">
        <f t="shared" si="21"/>
        <v>0</v>
      </c>
      <c r="AA165" s="51">
        <f t="shared" ref="AA165:AA196" si="25">U165-W165</f>
        <v>0</v>
      </c>
      <c r="AB165" s="51">
        <f t="shared" si="24"/>
        <v>0</v>
      </c>
      <c r="AC165" s="46">
        <v>0.1038</v>
      </c>
      <c r="AD165" s="51"/>
      <c r="AE165" s="76"/>
      <c r="AF165" s="76"/>
      <c r="AG165" s="57">
        <v>0.42</v>
      </c>
    </row>
    <row r="166" spans="1:33" hidden="1" x14ac:dyDescent="0.25">
      <c r="A166" s="81" t="s">
        <v>240</v>
      </c>
      <c r="B166" s="76" t="s">
        <v>71</v>
      </c>
      <c r="C166" s="76" t="s">
        <v>127</v>
      </c>
      <c r="D166" s="76" t="s">
        <v>153</v>
      </c>
      <c r="E166" s="76" t="s">
        <v>171</v>
      </c>
      <c r="F166" s="76" t="s">
        <v>172</v>
      </c>
      <c r="G166" s="76" t="s">
        <v>76</v>
      </c>
      <c r="H166" s="76" t="s">
        <v>77</v>
      </c>
      <c r="I166" s="45" t="s">
        <v>78</v>
      </c>
      <c r="J166" s="76" t="s">
        <v>78</v>
      </c>
      <c r="K166" s="76" t="s">
        <v>3</v>
      </c>
      <c r="L166" s="76" t="s">
        <v>125</v>
      </c>
      <c r="M166" s="76"/>
      <c r="N166" s="44" t="s">
        <v>126</v>
      </c>
      <c r="O166" s="76" t="s">
        <v>94</v>
      </c>
      <c r="P166" s="57">
        <v>0.03</v>
      </c>
      <c r="Q166" s="76"/>
      <c r="R166" s="76"/>
      <c r="S166" s="48">
        <v>14157.309295774699</v>
      </c>
      <c r="T166" s="51"/>
      <c r="U166" s="51">
        <v>0</v>
      </c>
      <c r="V166" s="51">
        <f t="shared" si="19"/>
        <v>14157.309295774699</v>
      </c>
      <c r="W166" s="50">
        <f t="shared" si="22"/>
        <v>0</v>
      </c>
      <c r="X166" s="51"/>
      <c r="Y166" s="50">
        <f t="shared" si="20"/>
        <v>0</v>
      </c>
      <c r="Z166" s="50">
        <f t="shared" si="21"/>
        <v>0</v>
      </c>
      <c r="AA166" s="51">
        <f t="shared" si="25"/>
        <v>0</v>
      </c>
      <c r="AB166" s="51">
        <f t="shared" si="24"/>
        <v>0</v>
      </c>
      <c r="AC166" s="46">
        <v>0.1038</v>
      </c>
      <c r="AD166" s="51"/>
      <c r="AE166" s="76"/>
      <c r="AF166" s="76"/>
      <c r="AG166" s="57">
        <v>0.42</v>
      </c>
    </row>
    <row r="167" spans="1:33" hidden="1" x14ac:dyDescent="0.25">
      <c r="A167" s="81" t="s">
        <v>240</v>
      </c>
      <c r="B167" s="76" t="s">
        <v>71</v>
      </c>
      <c r="C167" s="76" t="s">
        <v>127</v>
      </c>
      <c r="D167" s="76" t="s">
        <v>153</v>
      </c>
      <c r="E167" s="76" t="s">
        <v>173</v>
      </c>
      <c r="F167" s="76" t="s">
        <v>174</v>
      </c>
      <c r="G167" s="76" t="s">
        <v>76</v>
      </c>
      <c r="H167" s="76" t="s">
        <v>77</v>
      </c>
      <c r="I167" s="45" t="s">
        <v>78</v>
      </c>
      <c r="J167" s="76" t="s">
        <v>78</v>
      </c>
      <c r="K167" s="76" t="s">
        <v>3</v>
      </c>
      <c r="L167" s="76" t="s">
        <v>125</v>
      </c>
      <c r="M167" s="76"/>
      <c r="N167" s="44" t="s">
        <v>126</v>
      </c>
      <c r="O167" s="76" t="s">
        <v>94</v>
      </c>
      <c r="P167" s="57">
        <v>0.03</v>
      </c>
      <c r="Q167" s="76"/>
      <c r="R167" s="76"/>
      <c r="S167" s="48">
        <v>480.55873239384499</v>
      </c>
      <c r="T167" s="51"/>
      <c r="U167" s="51">
        <v>0</v>
      </c>
      <c r="V167" s="51">
        <f t="shared" si="19"/>
        <v>480.55873239384499</v>
      </c>
      <c r="W167" s="50">
        <f t="shared" si="22"/>
        <v>0</v>
      </c>
      <c r="X167" s="51"/>
      <c r="Y167" s="50">
        <f t="shared" si="20"/>
        <v>0</v>
      </c>
      <c r="Z167" s="50">
        <f t="shared" si="21"/>
        <v>0</v>
      </c>
      <c r="AA167" s="51">
        <f t="shared" si="25"/>
        <v>0</v>
      </c>
      <c r="AB167" s="51">
        <f t="shared" si="24"/>
        <v>0</v>
      </c>
      <c r="AC167" s="46">
        <v>0.1038</v>
      </c>
      <c r="AD167" s="51"/>
      <c r="AE167" s="76"/>
      <c r="AF167" s="76"/>
      <c r="AG167" s="57" t="s">
        <v>137</v>
      </c>
    </row>
    <row r="168" spans="1:33" hidden="1" x14ac:dyDescent="0.25">
      <c r="A168" s="81" t="s">
        <v>240</v>
      </c>
      <c r="B168" s="76" t="s">
        <v>71</v>
      </c>
      <c r="C168" s="76" t="s">
        <v>127</v>
      </c>
      <c r="D168" s="76" t="s">
        <v>153</v>
      </c>
      <c r="E168" s="76" t="s">
        <v>175</v>
      </c>
      <c r="F168" s="76" t="s">
        <v>176</v>
      </c>
      <c r="G168" s="76" t="s">
        <v>76</v>
      </c>
      <c r="H168" s="76" t="s">
        <v>77</v>
      </c>
      <c r="I168" s="45" t="s">
        <v>78</v>
      </c>
      <c r="J168" s="76" t="s">
        <v>78</v>
      </c>
      <c r="K168" s="76" t="s">
        <v>3</v>
      </c>
      <c r="L168" s="76" t="s">
        <v>125</v>
      </c>
      <c r="M168" s="76"/>
      <c r="N168" s="44" t="s">
        <v>126</v>
      </c>
      <c r="O168" s="76" t="s">
        <v>94</v>
      </c>
      <c r="P168" s="57">
        <v>0.23</v>
      </c>
      <c r="Q168" s="76"/>
      <c r="R168" s="76"/>
      <c r="S168" s="48">
        <v>88.72</v>
      </c>
      <c r="T168" s="51"/>
      <c r="U168" s="51">
        <v>0</v>
      </c>
      <c r="V168" s="51">
        <f t="shared" si="19"/>
        <v>88.72</v>
      </c>
      <c r="W168" s="50">
        <f t="shared" si="22"/>
        <v>0</v>
      </c>
      <c r="X168" s="51"/>
      <c r="Y168" s="50">
        <f t="shared" si="20"/>
        <v>0</v>
      </c>
      <c r="Z168" s="50">
        <f t="shared" si="21"/>
        <v>0</v>
      </c>
      <c r="AA168" s="51">
        <f t="shared" si="25"/>
        <v>0</v>
      </c>
      <c r="AB168" s="51">
        <f t="shared" si="24"/>
        <v>0</v>
      </c>
      <c r="AC168" s="46">
        <v>0.1038</v>
      </c>
      <c r="AD168" s="51"/>
      <c r="AE168" s="76"/>
      <c r="AF168" s="76"/>
      <c r="AG168" s="57">
        <v>0.42</v>
      </c>
    </row>
    <row r="169" spans="1:33" hidden="1" x14ac:dyDescent="0.25">
      <c r="A169" s="81" t="s">
        <v>240</v>
      </c>
      <c r="B169" s="76" t="s">
        <v>71</v>
      </c>
      <c r="C169" s="76" t="s">
        <v>127</v>
      </c>
      <c r="D169" s="76" t="s">
        <v>153</v>
      </c>
      <c r="E169" s="76" t="s">
        <v>177</v>
      </c>
      <c r="F169" s="76" t="s">
        <v>178</v>
      </c>
      <c r="G169" s="76" t="s">
        <v>76</v>
      </c>
      <c r="H169" s="76" t="s">
        <v>77</v>
      </c>
      <c r="I169" s="45" t="s">
        <v>78</v>
      </c>
      <c r="J169" s="76" t="s">
        <v>78</v>
      </c>
      <c r="K169" s="76" t="s">
        <v>3</v>
      </c>
      <c r="L169" s="76" t="s">
        <v>125</v>
      </c>
      <c r="M169" s="76"/>
      <c r="N169" s="44" t="s">
        <v>126</v>
      </c>
      <c r="O169" s="76" t="s">
        <v>94</v>
      </c>
      <c r="P169" s="57">
        <v>0.18</v>
      </c>
      <c r="Q169" s="76"/>
      <c r="R169" s="76"/>
      <c r="S169" s="48">
        <v>147.29985915508601</v>
      </c>
      <c r="T169" s="51"/>
      <c r="U169" s="51">
        <v>0</v>
      </c>
      <c r="V169" s="51">
        <f t="shared" si="19"/>
        <v>147.29985915508601</v>
      </c>
      <c r="W169" s="50">
        <f t="shared" si="22"/>
        <v>0</v>
      </c>
      <c r="X169" s="51"/>
      <c r="Y169" s="50">
        <f t="shared" si="20"/>
        <v>0</v>
      </c>
      <c r="Z169" s="50">
        <f t="shared" si="21"/>
        <v>0</v>
      </c>
      <c r="AA169" s="51">
        <f t="shared" si="25"/>
        <v>0</v>
      </c>
      <c r="AB169" s="51">
        <f t="shared" si="24"/>
        <v>0</v>
      </c>
      <c r="AC169" s="46">
        <v>0.1038</v>
      </c>
      <c r="AD169" s="51"/>
      <c r="AE169" s="76"/>
      <c r="AF169" s="76"/>
      <c r="AG169" s="57">
        <v>0.42</v>
      </c>
    </row>
    <row r="170" spans="1:33" hidden="1" x14ac:dyDescent="0.25">
      <c r="A170" s="81" t="s">
        <v>240</v>
      </c>
      <c r="B170" s="76" t="s">
        <v>71</v>
      </c>
      <c r="C170" s="76" t="s">
        <v>127</v>
      </c>
      <c r="D170" s="76" t="s">
        <v>153</v>
      </c>
      <c r="E170" s="76" t="s">
        <v>179</v>
      </c>
      <c r="F170" s="76" t="s">
        <v>180</v>
      </c>
      <c r="G170" s="76" t="s">
        <v>76</v>
      </c>
      <c r="H170" s="76" t="s">
        <v>77</v>
      </c>
      <c r="I170" s="45" t="s">
        <v>78</v>
      </c>
      <c r="J170" s="76" t="s">
        <v>78</v>
      </c>
      <c r="K170" s="76" t="s">
        <v>3</v>
      </c>
      <c r="L170" s="76" t="s">
        <v>125</v>
      </c>
      <c r="M170" s="76"/>
      <c r="N170" s="44" t="s">
        <v>126</v>
      </c>
      <c r="O170" s="76" t="s">
        <v>94</v>
      </c>
      <c r="P170" s="57">
        <v>0.18</v>
      </c>
      <c r="Q170" s="76"/>
      <c r="R170" s="76"/>
      <c r="S170" s="48">
        <v>4215.2245070423196</v>
      </c>
      <c r="T170" s="51"/>
      <c r="U170" s="51">
        <v>0</v>
      </c>
      <c r="V170" s="51">
        <f t="shared" si="19"/>
        <v>4215.2245070423196</v>
      </c>
      <c r="W170" s="50">
        <f t="shared" si="22"/>
        <v>0</v>
      </c>
      <c r="X170" s="51"/>
      <c r="Y170" s="50">
        <f t="shared" si="20"/>
        <v>0</v>
      </c>
      <c r="Z170" s="50">
        <f t="shared" si="21"/>
        <v>0</v>
      </c>
      <c r="AA170" s="51">
        <f t="shared" si="25"/>
        <v>0</v>
      </c>
      <c r="AB170" s="51">
        <f t="shared" si="24"/>
        <v>0</v>
      </c>
      <c r="AC170" s="46">
        <v>0.1038</v>
      </c>
      <c r="AD170" s="51"/>
      <c r="AE170" s="76"/>
      <c r="AF170" s="76"/>
      <c r="AG170" s="57">
        <v>0.42</v>
      </c>
    </row>
    <row r="171" spans="1:33" hidden="1" x14ac:dyDescent="0.25">
      <c r="A171" s="81" t="s">
        <v>240</v>
      </c>
      <c r="B171" s="76" t="s">
        <v>71</v>
      </c>
      <c r="C171" s="76" t="s">
        <v>127</v>
      </c>
      <c r="D171" s="76" t="s">
        <v>153</v>
      </c>
      <c r="E171" s="76" t="s">
        <v>181</v>
      </c>
      <c r="F171" s="76" t="s">
        <v>182</v>
      </c>
      <c r="G171" s="76" t="s">
        <v>76</v>
      </c>
      <c r="H171" s="76" t="s">
        <v>77</v>
      </c>
      <c r="I171" s="45" t="s">
        <v>78</v>
      </c>
      <c r="J171" s="76" t="s">
        <v>78</v>
      </c>
      <c r="K171" s="76" t="s">
        <v>3</v>
      </c>
      <c r="L171" s="76" t="s">
        <v>125</v>
      </c>
      <c r="M171" s="76"/>
      <c r="N171" s="44" t="s">
        <v>126</v>
      </c>
      <c r="O171" s="76" t="s">
        <v>94</v>
      </c>
      <c r="P171" s="57">
        <v>0.23</v>
      </c>
      <c r="Q171" s="76"/>
      <c r="R171" s="76"/>
      <c r="S171" s="48">
        <v>127.3395774647</v>
      </c>
      <c r="T171" s="51"/>
      <c r="U171" s="51">
        <v>0</v>
      </c>
      <c r="V171" s="51">
        <f t="shared" si="19"/>
        <v>127.3395774647</v>
      </c>
      <c r="W171" s="50">
        <f t="shared" si="22"/>
        <v>0</v>
      </c>
      <c r="X171" s="51"/>
      <c r="Y171" s="50">
        <f t="shared" si="20"/>
        <v>0</v>
      </c>
      <c r="Z171" s="50">
        <f t="shared" si="21"/>
        <v>0</v>
      </c>
      <c r="AA171" s="51">
        <f t="shared" si="25"/>
        <v>0</v>
      </c>
      <c r="AB171" s="51">
        <f t="shared" si="24"/>
        <v>0</v>
      </c>
      <c r="AC171" s="46">
        <v>0.1038</v>
      </c>
      <c r="AD171" s="51"/>
      <c r="AE171" s="76"/>
      <c r="AF171" s="76"/>
      <c r="AG171" s="57">
        <v>0.42</v>
      </c>
    </row>
    <row r="172" spans="1:33" hidden="1" x14ac:dyDescent="0.25">
      <c r="A172" s="81" t="s">
        <v>240</v>
      </c>
      <c r="B172" s="76" t="s">
        <v>71</v>
      </c>
      <c r="C172" s="76" t="s">
        <v>127</v>
      </c>
      <c r="D172" s="76" t="s">
        <v>153</v>
      </c>
      <c r="E172" s="76" t="s">
        <v>183</v>
      </c>
      <c r="F172" s="76" t="s">
        <v>184</v>
      </c>
      <c r="G172" s="76" t="s">
        <v>76</v>
      </c>
      <c r="H172" s="76" t="s">
        <v>77</v>
      </c>
      <c r="I172" s="45" t="s">
        <v>78</v>
      </c>
      <c r="J172" s="76" t="s">
        <v>78</v>
      </c>
      <c r="K172" s="76" t="s">
        <v>3</v>
      </c>
      <c r="L172" s="76" t="s">
        <v>125</v>
      </c>
      <c r="M172" s="76"/>
      <c r="N172" s="44" t="s">
        <v>126</v>
      </c>
      <c r="O172" s="76" t="s">
        <v>94</v>
      </c>
      <c r="P172" s="57">
        <v>0.23</v>
      </c>
      <c r="Q172" s="76"/>
      <c r="R172" s="76"/>
      <c r="S172" s="48">
        <v>172.66352112698999</v>
      </c>
      <c r="T172" s="51"/>
      <c r="U172" s="51">
        <v>0</v>
      </c>
      <c r="V172" s="51">
        <f t="shared" si="19"/>
        <v>172.66352112698999</v>
      </c>
      <c r="W172" s="50">
        <f t="shared" si="22"/>
        <v>0</v>
      </c>
      <c r="X172" s="51"/>
      <c r="Y172" s="50">
        <f t="shared" si="20"/>
        <v>0</v>
      </c>
      <c r="Z172" s="50">
        <f t="shared" si="21"/>
        <v>0</v>
      </c>
      <c r="AA172" s="51">
        <f t="shared" si="25"/>
        <v>0</v>
      </c>
      <c r="AB172" s="51">
        <f t="shared" si="24"/>
        <v>0</v>
      </c>
      <c r="AC172" s="46">
        <v>0.1038</v>
      </c>
      <c r="AD172" s="51"/>
      <c r="AE172" s="76"/>
      <c r="AF172" s="76"/>
      <c r="AG172" s="57">
        <v>0.42</v>
      </c>
    </row>
    <row r="173" spans="1:33" hidden="1" x14ac:dyDescent="0.25">
      <c r="A173" s="81" t="s">
        <v>240</v>
      </c>
      <c r="B173" s="76" t="s">
        <v>71</v>
      </c>
      <c r="C173" s="76" t="s">
        <v>127</v>
      </c>
      <c r="D173" s="76" t="s">
        <v>153</v>
      </c>
      <c r="E173" s="76" t="s">
        <v>185</v>
      </c>
      <c r="F173" s="76" t="s">
        <v>186</v>
      </c>
      <c r="G173" s="76" t="s">
        <v>76</v>
      </c>
      <c r="H173" s="76" t="s">
        <v>77</v>
      </c>
      <c r="I173" s="45" t="s">
        <v>78</v>
      </c>
      <c r="J173" s="76" t="s">
        <v>78</v>
      </c>
      <c r="K173" s="76" t="s">
        <v>3</v>
      </c>
      <c r="L173" s="76" t="s">
        <v>125</v>
      </c>
      <c r="M173" s="76"/>
      <c r="N173" s="44" t="s">
        <v>126</v>
      </c>
      <c r="O173" s="76" t="s">
        <v>94</v>
      </c>
      <c r="P173" s="57">
        <v>0.08</v>
      </c>
      <c r="Q173" s="76"/>
      <c r="R173" s="76"/>
      <c r="S173" s="48">
        <v>11055.15</v>
      </c>
      <c r="T173" s="51"/>
      <c r="U173" s="51">
        <v>0</v>
      </c>
      <c r="V173" s="51">
        <f t="shared" si="19"/>
        <v>11055.15</v>
      </c>
      <c r="W173" s="50">
        <f t="shared" si="22"/>
        <v>0</v>
      </c>
      <c r="X173" s="51"/>
      <c r="Y173" s="50">
        <f t="shared" si="20"/>
        <v>0</v>
      </c>
      <c r="Z173" s="50">
        <f t="shared" si="21"/>
        <v>0</v>
      </c>
      <c r="AA173" s="51">
        <f t="shared" si="25"/>
        <v>0</v>
      </c>
      <c r="AB173" s="51">
        <f t="shared" si="24"/>
        <v>0</v>
      </c>
      <c r="AC173" s="46">
        <v>0.1038</v>
      </c>
      <c r="AD173" s="51"/>
      <c r="AE173" s="76"/>
      <c r="AF173" s="76"/>
      <c r="AG173" s="57">
        <v>0.42</v>
      </c>
    </row>
    <row r="174" spans="1:33" hidden="1" x14ac:dyDescent="0.25">
      <c r="A174" s="81" t="s">
        <v>240</v>
      </c>
      <c r="B174" s="76" t="s">
        <v>3</v>
      </c>
      <c r="C174" s="76" t="s">
        <v>72</v>
      </c>
      <c r="D174" s="76" t="s">
        <v>187</v>
      </c>
      <c r="E174" s="76" t="s">
        <v>188</v>
      </c>
      <c r="F174" s="76" t="s">
        <v>188</v>
      </c>
      <c r="G174" s="76" t="s">
        <v>188</v>
      </c>
      <c r="H174" s="76" t="s">
        <v>77</v>
      </c>
      <c r="I174" s="45" t="s">
        <v>78</v>
      </c>
      <c r="J174" s="76" t="s">
        <v>78</v>
      </c>
      <c r="K174" s="76" t="s">
        <v>3</v>
      </c>
      <c r="L174" s="76" t="s">
        <v>188</v>
      </c>
      <c r="M174" s="76"/>
      <c r="N174" s="44" t="s">
        <v>126</v>
      </c>
      <c r="O174" s="76" t="s">
        <v>94</v>
      </c>
      <c r="P174" s="57">
        <v>0.05</v>
      </c>
      <c r="Q174" s="76"/>
      <c r="R174" s="76"/>
      <c r="S174" s="48">
        <v>15503.97</v>
      </c>
      <c r="T174" s="51"/>
      <c r="U174" s="51">
        <v>0</v>
      </c>
      <c r="V174" s="51">
        <f t="shared" si="19"/>
        <v>15503.97</v>
      </c>
      <c r="W174" s="50">
        <f t="shared" si="22"/>
        <v>0</v>
      </c>
      <c r="X174" s="51"/>
      <c r="Y174" s="50">
        <f t="shared" si="20"/>
        <v>0</v>
      </c>
      <c r="Z174" s="50">
        <f t="shared" si="21"/>
        <v>0</v>
      </c>
      <c r="AA174" s="51">
        <f t="shared" si="25"/>
        <v>0</v>
      </c>
      <c r="AB174" s="51">
        <f t="shared" si="24"/>
        <v>0</v>
      </c>
      <c r="AC174" s="46">
        <v>0.1038</v>
      </c>
      <c r="AD174" s="51"/>
      <c r="AE174" s="76"/>
      <c r="AF174" s="76"/>
      <c r="AG174" s="57">
        <v>0.36</v>
      </c>
    </row>
    <row r="175" spans="1:33" hidden="1" x14ac:dyDescent="0.25">
      <c r="A175" s="81" t="s">
        <v>240</v>
      </c>
      <c r="B175" s="76" t="s">
        <v>3</v>
      </c>
      <c r="C175" s="76" t="s">
        <v>95</v>
      </c>
      <c r="D175" s="76" t="s">
        <v>96</v>
      </c>
      <c r="E175" s="76" t="s">
        <v>191</v>
      </c>
      <c r="F175" s="76" t="s">
        <v>191</v>
      </c>
      <c r="G175" s="76" t="s">
        <v>191</v>
      </c>
      <c r="H175" s="76" t="s">
        <v>77</v>
      </c>
      <c r="I175" s="45" t="s">
        <v>78</v>
      </c>
      <c r="J175" s="76" t="s">
        <v>78</v>
      </c>
      <c r="K175" s="76" t="s">
        <v>3</v>
      </c>
      <c r="L175" s="76" t="s">
        <v>192</v>
      </c>
      <c r="M175" s="76"/>
      <c r="N175" s="44" t="s">
        <v>86</v>
      </c>
      <c r="O175" s="76" t="s">
        <v>81</v>
      </c>
      <c r="P175" s="57">
        <v>0</v>
      </c>
      <c r="Q175" s="76"/>
      <c r="R175" s="76"/>
      <c r="S175" s="48">
        <v>6379.42</v>
      </c>
      <c r="T175" s="51"/>
      <c r="U175" s="51">
        <v>0</v>
      </c>
      <c r="V175" s="51">
        <f t="shared" si="19"/>
        <v>6379.42</v>
      </c>
      <c r="W175" s="50">
        <f t="shared" si="22"/>
        <v>0</v>
      </c>
      <c r="X175" s="51"/>
      <c r="Y175" s="50">
        <f t="shared" si="20"/>
        <v>0</v>
      </c>
      <c r="Z175" s="50">
        <f t="shared" si="21"/>
        <v>0</v>
      </c>
      <c r="AA175" s="51">
        <f t="shared" si="25"/>
        <v>0</v>
      </c>
      <c r="AB175" s="51">
        <f t="shared" si="24"/>
        <v>0</v>
      </c>
      <c r="AC175" s="46">
        <v>8.3699999999999997E-2</v>
      </c>
      <c r="AD175" s="51"/>
      <c r="AE175" s="76"/>
      <c r="AF175" s="76"/>
      <c r="AG175" s="57">
        <v>0.11</v>
      </c>
    </row>
    <row r="176" spans="1:33" hidden="1" x14ac:dyDescent="0.25">
      <c r="A176" s="81" t="s">
        <v>240</v>
      </c>
      <c r="B176" s="76" t="s">
        <v>71</v>
      </c>
      <c r="C176" s="76" t="s">
        <v>193</v>
      </c>
      <c r="D176" s="76" t="s">
        <v>194</v>
      </c>
      <c r="E176" s="76" t="s">
        <v>195</v>
      </c>
      <c r="F176" s="76" t="s">
        <v>196</v>
      </c>
      <c r="G176" s="76" t="s">
        <v>76</v>
      </c>
      <c r="H176" s="76" t="s">
        <v>77</v>
      </c>
      <c r="I176" s="45" t="s">
        <v>78</v>
      </c>
      <c r="J176" s="76" t="s">
        <v>78</v>
      </c>
      <c r="K176" s="76" t="s">
        <v>3</v>
      </c>
      <c r="L176" s="76" t="s">
        <v>197</v>
      </c>
      <c r="M176" s="76"/>
      <c r="N176" s="44" t="s">
        <v>80</v>
      </c>
      <c r="O176" s="76" t="s">
        <v>81</v>
      </c>
      <c r="P176" s="57">
        <v>0</v>
      </c>
      <c r="Q176" s="76"/>
      <c r="R176" s="76"/>
      <c r="S176" s="48">
        <v>2956.69</v>
      </c>
      <c r="T176" s="51"/>
      <c r="U176" s="51">
        <v>0</v>
      </c>
      <c r="V176" s="51">
        <f t="shared" si="19"/>
        <v>2956.69</v>
      </c>
      <c r="W176" s="50">
        <f t="shared" si="22"/>
        <v>0</v>
      </c>
      <c r="X176" s="51"/>
      <c r="Y176" s="50">
        <f t="shared" si="20"/>
        <v>0</v>
      </c>
      <c r="Z176" s="50">
        <f t="shared" si="21"/>
        <v>0</v>
      </c>
      <c r="AA176" s="51">
        <f t="shared" si="25"/>
        <v>0</v>
      </c>
      <c r="AB176" s="51">
        <f t="shared" si="24"/>
        <v>0</v>
      </c>
      <c r="AC176" s="46">
        <v>8.3699999999999997E-2</v>
      </c>
      <c r="AD176" s="51"/>
      <c r="AE176" s="76"/>
      <c r="AF176" s="76"/>
      <c r="AG176" s="57">
        <v>0.42</v>
      </c>
    </row>
    <row r="177" spans="1:40" hidden="1" x14ac:dyDescent="0.25">
      <c r="A177" s="81" t="s">
        <v>240</v>
      </c>
      <c r="B177" s="76" t="s">
        <v>3</v>
      </c>
      <c r="C177" s="76" t="s">
        <v>82</v>
      </c>
      <c r="D177" s="76" t="s">
        <v>83</v>
      </c>
      <c r="E177" s="76" t="s">
        <v>88</v>
      </c>
      <c r="F177" s="76" t="s">
        <v>88</v>
      </c>
      <c r="G177" s="76" t="s">
        <v>88</v>
      </c>
      <c r="H177" s="76" t="s">
        <v>77</v>
      </c>
      <c r="I177" s="45" t="s">
        <v>78</v>
      </c>
      <c r="J177" s="76" t="s">
        <v>78</v>
      </c>
      <c r="K177" s="76" t="s">
        <v>3</v>
      </c>
      <c r="L177" s="76" t="s">
        <v>88</v>
      </c>
      <c r="M177" s="76"/>
      <c r="N177" s="76" t="s">
        <v>201</v>
      </c>
      <c r="O177" s="76" t="s">
        <v>81</v>
      </c>
      <c r="P177" s="57">
        <v>0</v>
      </c>
      <c r="Q177" s="44"/>
      <c r="R177" s="76" t="s">
        <v>89</v>
      </c>
      <c r="S177" s="48">
        <v>0</v>
      </c>
      <c r="T177" s="51">
        <v>4881660</v>
      </c>
      <c r="U177" s="51">
        <v>8310399.3200000003</v>
      </c>
      <c r="V177" s="51"/>
      <c r="W177" s="50">
        <v>7839999.3600000003</v>
      </c>
      <c r="X177" s="51">
        <v>470399.96</v>
      </c>
      <c r="Y177" s="50">
        <f t="shared" si="20"/>
        <v>2958339.3600000003</v>
      </c>
      <c r="Z177" s="50">
        <f t="shared" si="21"/>
        <v>8310399.3200000003</v>
      </c>
      <c r="AA177" s="51">
        <f t="shared" si="25"/>
        <v>470399.95999999996</v>
      </c>
      <c r="AB177" s="91">
        <v>4881660</v>
      </c>
      <c r="AC177" s="46">
        <v>8.3699999999999997E-2</v>
      </c>
      <c r="AD177" s="51"/>
      <c r="AE177" s="76"/>
      <c r="AF177" s="76"/>
      <c r="AG177" s="57" t="s">
        <v>243</v>
      </c>
    </row>
    <row r="178" spans="1:40" hidden="1" x14ac:dyDescent="0.25">
      <c r="A178" s="81" t="s">
        <v>240</v>
      </c>
      <c r="B178" s="76" t="s">
        <v>3</v>
      </c>
      <c r="C178" s="76" t="s">
        <v>82</v>
      </c>
      <c r="D178" s="76" t="s">
        <v>83</v>
      </c>
      <c r="E178" s="76" t="s">
        <v>84</v>
      </c>
      <c r="F178" s="76" t="s">
        <v>84</v>
      </c>
      <c r="G178" s="76" t="s">
        <v>84</v>
      </c>
      <c r="H178" s="76" t="s">
        <v>202</v>
      </c>
      <c r="I178" s="45" t="s">
        <v>203</v>
      </c>
      <c r="J178" s="76" t="s">
        <v>244</v>
      </c>
      <c r="K178" s="76" t="s">
        <v>3</v>
      </c>
      <c r="L178" s="76" t="s">
        <v>84</v>
      </c>
      <c r="M178" s="76"/>
      <c r="N178" s="76" t="s">
        <v>86</v>
      </c>
      <c r="O178" s="76" t="s">
        <v>81</v>
      </c>
      <c r="P178" s="57">
        <v>0</v>
      </c>
      <c r="Q178" s="44"/>
      <c r="R178" s="76" t="s">
        <v>205</v>
      </c>
      <c r="S178" s="48">
        <v>4076.12</v>
      </c>
      <c r="T178" s="51">
        <v>140.56</v>
      </c>
      <c r="U178" s="51">
        <v>140.56</v>
      </c>
      <c r="V178" s="51">
        <f>S178+T178-U178</f>
        <v>4076.1200000000003</v>
      </c>
      <c r="W178" s="50">
        <v>0</v>
      </c>
      <c r="X178" s="51"/>
      <c r="Y178" s="50">
        <f t="shared" si="20"/>
        <v>0</v>
      </c>
      <c r="Z178" s="50">
        <f t="shared" si="21"/>
        <v>0</v>
      </c>
      <c r="AA178" s="51">
        <f t="shared" si="25"/>
        <v>140.56</v>
      </c>
      <c r="AB178" s="91">
        <v>140.56</v>
      </c>
      <c r="AC178" s="57">
        <v>0</v>
      </c>
      <c r="AD178" s="51"/>
      <c r="AE178" s="76"/>
      <c r="AF178" s="76"/>
      <c r="AG178" s="57" t="s">
        <v>241</v>
      </c>
    </row>
    <row r="179" spans="1:40" hidden="1" x14ac:dyDescent="0.25">
      <c r="A179" s="81" t="s">
        <v>240</v>
      </c>
      <c r="B179" s="76" t="s">
        <v>3</v>
      </c>
      <c r="C179" s="76" t="s">
        <v>82</v>
      </c>
      <c r="D179" s="76" t="s">
        <v>83</v>
      </c>
      <c r="E179" s="76" t="s">
        <v>88</v>
      </c>
      <c r="F179" s="76" t="s">
        <v>88</v>
      </c>
      <c r="G179" s="76" t="s">
        <v>88</v>
      </c>
      <c r="H179" s="76" t="s">
        <v>202</v>
      </c>
      <c r="I179" s="45" t="s">
        <v>203</v>
      </c>
      <c r="J179" s="76" t="s">
        <v>244</v>
      </c>
      <c r="K179" s="76" t="s">
        <v>3</v>
      </c>
      <c r="L179" s="76" t="s">
        <v>88</v>
      </c>
      <c r="M179" s="76"/>
      <c r="N179" s="76" t="s">
        <v>86</v>
      </c>
      <c r="O179" s="76" t="s">
        <v>81</v>
      </c>
      <c r="P179" s="57">
        <v>0</v>
      </c>
      <c r="Q179" s="44"/>
      <c r="R179" s="76" t="s">
        <v>205</v>
      </c>
      <c r="S179" s="48">
        <v>113492.08</v>
      </c>
      <c r="T179" s="51">
        <v>84048.88</v>
      </c>
      <c r="U179" s="51">
        <v>84048.88</v>
      </c>
      <c r="V179" s="51">
        <f>S179+T179-U179</f>
        <v>113492.08000000002</v>
      </c>
      <c r="W179" s="50">
        <v>0</v>
      </c>
      <c r="X179" s="51"/>
      <c r="Y179" s="50">
        <f t="shared" si="20"/>
        <v>0</v>
      </c>
      <c r="Z179" s="50">
        <f t="shared" si="21"/>
        <v>0</v>
      </c>
      <c r="AA179" s="51">
        <f t="shared" si="25"/>
        <v>84048.88</v>
      </c>
      <c r="AB179" s="91">
        <v>84048.88</v>
      </c>
      <c r="AC179" s="57">
        <v>0</v>
      </c>
      <c r="AD179" s="51"/>
      <c r="AE179" s="76"/>
      <c r="AF179" s="76"/>
      <c r="AG179" s="57" t="s">
        <v>241</v>
      </c>
    </row>
    <row r="180" spans="1:40" hidden="1" x14ac:dyDescent="0.25">
      <c r="A180" s="81" t="s">
        <v>240</v>
      </c>
      <c r="B180" s="92" t="s">
        <v>3</v>
      </c>
      <c r="C180" s="92" t="s">
        <v>82</v>
      </c>
      <c r="D180" s="92" t="s">
        <v>83</v>
      </c>
      <c r="E180" s="92" t="s">
        <v>88</v>
      </c>
      <c r="F180" s="92" t="s">
        <v>88</v>
      </c>
      <c r="G180" s="92" t="s">
        <v>88</v>
      </c>
      <c r="H180" s="92" t="s">
        <v>234</v>
      </c>
      <c r="I180" s="45" t="s">
        <v>203</v>
      </c>
      <c r="J180" s="76" t="s">
        <v>245</v>
      </c>
      <c r="K180" s="76" t="s">
        <v>3</v>
      </c>
      <c r="L180" s="92" t="s">
        <v>88</v>
      </c>
      <c r="M180" s="92"/>
      <c r="N180" s="92" t="s">
        <v>86</v>
      </c>
      <c r="O180" s="92" t="s">
        <v>81</v>
      </c>
      <c r="P180" s="93">
        <v>0</v>
      </c>
      <c r="Q180" s="94"/>
      <c r="R180" s="92" t="s">
        <v>89</v>
      </c>
      <c r="S180" s="48">
        <v>0</v>
      </c>
      <c r="T180" s="95">
        <v>0</v>
      </c>
      <c r="U180" s="95">
        <f>W180</f>
        <v>94655.21</v>
      </c>
      <c r="V180" s="95">
        <v>0</v>
      </c>
      <c r="W180" s="95">
        <v>94655.21</v>
      </c>
      <c r="X180" s="95">
        <v>6912</v>
      </c>
      <c r="Y180" s="50">
        <f t="shared" si="20"/>
        <v>0</v>
      </c>
      <c r="Z180" s="50">
        <f t="shared" si="21"/>
        <v>101567.21</v>
      </c>
      <c r="AA180" s="95">
        <f t="shared" si="25"/>
        <v>0</v>
      </c>
      <c r="AB180" s="96">
        <f>W180</f>
        <v>94655.21</v>
      </c>
      <c r="AC180" s="93">
        <v>0</v>
      </c>
      <c r="AD180" s="95"/>
      <c r="AE180" s="92" t="s">
        <v>222</v>
      </c>
      <c r="AF180" s="92"/>
      <c r="AG180" s="93">
        <v>0</v>
      </c>
    </row>
    <row r="181" spans="1:40" hidden="1" x14ac:dyDescent="0.25">
      <c r="A181" s="81" t="s">
        <v>246</v>
      </c>
      <c r="B181" s="82" t="s">
        <v>71</v>
      </c>
      <c r="C181" s="82" t="s">
        <v>193</v>
      </c>
      <c r="D181" s="82" t="s">
        <v>194</v>
      </c>
      <c r="E181" s="82" t="s">
        <v>195</v>
      </c>
      <c r="F181" s="82" t="s">
        <v>196</v>
      </c>
      <c r="G181" s="82" t="s">
        <v>76</v>
      </c>
      <c r="H181" s="82" t="s">
        <v>77</v>
      </c>
      <c r="I181" s="45" t="s">
        <v>78</v>
      </c>
      <c r="J181" s="82" t="s">
        <v>78</v>
      </c>
      <c r="K181" s="76" t="s">
        <v>3</v>
      </c>
      <c r="L181" s="82" t="s">
        <v>197</v>
      </c>
      <c r="M181" s="82"/>
      <c r="N181" s="52" t="s">
        <v>80</v>
      </c>
      <c r="O181" s="52" t="s">
        <v>81</v>
      </c>
      <c r="P181" s="97">
        <v>0</v>
      </c>
      <c r="Q181" s="98"/>
      <c r="R181" s="82"/>
      <c r="S181" s="48">
        <v>2956.69</v>
      </c>
      <c r="T181" s="55">
        <v>0</v>
      </c>
      <c r="U181" s="55">
        <v>0</v>
      </c>
      <c r="V181" s="55">
        <f t="shared" ref="V181:V233" si="26">S181+T181-U181</f>
        <v>2956.69</v>
      </c>
      <c r="W181" s="55">
        <f t="shared" ref="W181:W221" si="27">IF(O181="折扣",U181*P181,U181*(1+AG181)/(1+P181+AG181))</f>
        <v>0</v>
      </c>
      <c r="X181" s="82"/>
      <c r="Y181" s="50">
        <f t="shared" si="20"/>
        <v>0</v>
      </c>
      <c r="Z181" s="50">
        <f t="shared" si="21"/>
        <v>0</v>
      </c>
      <c r="AA181" s="50">
        <f t="shared" si="25"/>
        <v>0</v>
      </c>
      <c r="AB181" s="50">
        <f t="shared" ref="AB181:AB221" si="28">U181</f>
        <v>0</v>
      </c>
      <c r="AC181" s="80">
        <v>0.05</v>
      </c>
      <c r="AD181" s="82"/>
      <c r="AE181" s="82"/>
      <c r="AF181" s="82"/>
      <c r="AG181" s="97">
        <v>0.42</v>
      </c>
      <c r="AH181" s="55">
        <f>AK181/(1+AG181)</f>
        <v>0</v>
      </c>
      <c r="AI181" s="55"/>
      <c r="AJ181" s="55">
        <f t="shared" ref="AJ181:AJ212" si="29">T181*AG181</f>
        <v>0</v>
      </c>
      <c r="AK181" s="55">
        <v>0</v>
      </c>
      <c r="AL181" s="55"/>
      <c r="AM181" s="55">
        <f t="shared" ref="AM181:AM221" si="30">IF(O181="折扣",AK181*P181,AK181/(1+P181+AG181))</f>
        <v>0</v>
      </c>
    </row>
    <row r="182" spans="1:40" hidden="1" x14ac:dyDescent="0.25">
      <c r="A182" s="81" t="s">
        <v>246</v>
      </c>
      <c r="B182" s="82" t="s">
        <v>71</v>
      </c>
      <c r="C182" s="82" t="s">
        <v>100</v>
      </c>
      <c r="D182" s="82" t="s">
        <v>101</v>
      </c>
      <c r="E182" s="82" t="s">
        <v>112</v>
      </c>
      <c r="F182" s="82" t="s">
        <v>113</v>
      </c>
      <c r="G182" s="82" t="s">
        <v>76</v>
      </c>
      <c r="H182" s="82" t="s">
        <v>77</v>
      </c>
      <c r="I182" s="45" t="s">
        <v>78</v>
      </c>
      <c r="J182" s="82" t="s">
        <v>78</v>
      </c>
      <c r="K182" s="76" t="s">
        <v>3</v>
      </c>
      <c r="L182" s="82" t="s">
        <v>112</v>
      </c>
      <c r="M182" s="82"/>
      <c r="N182" s="52" t="s">
        <v>86</v>
      </c>
      <c r="O182" s="52" t="s">
        <v>81</v>
      </c>
      <c r="P182" s="97">
        <v>0</v>
      </c>
      <c r="Q182" s="98"/>
      <c r="R182" s="82"/>
      <c r="S182" s="55">
        <v>68894.880000000005</v>
      </c>
      <c r="T182" s="55">
        <v>0</v>
      </c>
      <c r="U182" s="55">
        <v>0.88</v>
      </c>
      <c r="V182" s="55">
        <f t="shared" si="26"/>
        <v>68894</v>
      </c>
      <c r="W182" s="55">
        <f t="shared" si="27"/>
        <v>0.88</v>
      </c>
      <c r="X182" s="82"/>
      <c r="Y182" s="50">
        <f t="shared" si="20"/>
        <v>0</v>
      </c>
      <c r="Z182" s="50">
        <f t="shared" si="21"/>
        <v>0.88</v>
      </c>
      <c r="AA182" s="50">
        <f t="shared" si="25"/>
        <v>0</v>
      </c>
      <c r="AB182" s="50">
        <f t="shared" si="28"/>
        <v>0.88</v>
      </c>
      <c r="AC182" s="80">
        <v>0.05</v>
      </c>
      <c r="AD182" s="82"/>
      <c r="AE182" s="82"/>
      <c r="AF182" s="82"/>
      <c r="AG182" s="97">
        <v>0</v>
      </c>
      <c r="AH182" s="55">
        <f t="shared" ref="AH182:AH231" si="31">AK182/(1+AG182)</f>
        <v>0.88</v>
      </c>
      <c r="AI182" s="55"/>
      <c r="AJ182" s="55">
        <f t="shared" si="29"/>
        <v>0</v>
      </c>
      <c r="AK182" s="55">
        <v>0.88</v>
      </c>
      <c r="AL182" s="55"/>
      <c r="AM182" s="55">
        <f t="shared" si="30"/>
        <v>0.88</v>
      </c>
      <c r="AN182" s="99"/>
    </row>
    <row r="183" spans="1:40" hidden="1" x14ac:dyDescent="0.25">
      <c r="A183" s="81" t="s">
        <v>246</v>
      </c>
      <c r="B183" s="82" t="s">
        <v>71</v>
      </c>
      <c r="C183" s="82" t="s">
        <v>90</v>
      </c>
      <c r="D183" s="82" t="s">
        <v>105</v>
      </c>
      <c r="E183" s="82" t="s">
        <v>106</v>
      </c>
      <c r="F183" s="82" t="s">
        <v>107</v>
      </c>
      <c r="G183" s="82" t="s">
        <v>76</v>
      </c>
      <c r="H183" s="82" t="s">
        <v>77</v>
      </c>
      <c r="I183" s="45" t="s">
        <v>78</v>
      </c>
      <c r="J183" s="82" t="s">
        <v>78</v>
      </c>
      <c r="K183" s="76" t="s">
        <v>3</v>
      </c>
      <c r="L183" s="82" t="s">
        <v>106</v>
      </c>
      <c r="M183" s="82"/>
      <c r="N183" s="52" t="s">
        <v>80</v>
      </c>
      <c r="O183" s="52" t="s">
        <v>81</v>
      </c>
      <c r="P183" s="97">
        <v>0</v>
      </c>
      <c r="Q183" s="98"/>
      <c r="R183" s="82"/>
      <c r="S183" s="48">
        <v>7741.65</v>
      </c>
      <c r="T183" s="55">
        <v>0</v>
      </c>
      <c r="U183" s="55">
        <v>0</v>
      </c>
      <c r="V183" s="55">
        <f t="shared" si="26"/>
        <v>7741.65</v>
      </c>
      <c r="W183" s="55">
        <f t="shared" si="27"/>
        <v>0</v>
      </c>
      <c r="X183" s="82"/>
      <c r="Y183" s="50">
        <f t="shared" si="20"/>
        <v>0</v>
      </c>
      <c r="Z183" s="50">
        <f t="shared" si="21"/>
        <v>0</v>
      </c>
      <c r="AA183" s="50">
        <f t="shared" si="25"/>
        <v>0</v>
      </c>
      <c r="AB183" s="50">
        <f t="shared" si="28"/>
        <v>0</v>
      </c>
      <c r="AC183" s="80">
        <v>0.05</v>
      </c>
      <c r="AD183" s="82"/>
      <c r="AE183" s="82"/>
      <c r="AF183" s="82"/>
      <c r="AG183" s="97">
        <v>0.42</v>
      </c>
      <c r="AH183" s="55">
        <f t="shared" si="31"/>
        <v>0</v>
      </c>
      <c r="AI183" s="55"/>
      <c r="AJ183" s="55">
        <f t="shared" si="29"/>
        <v>0</v>
      </c>
      <c r="AK183" s="55">
        <v>0</v>
      </c>
      <c r="AL183" s="55"/>
      <c r="AM183" s="55">
        <f t="shared" si="30"/>
        <v>0</v>
      </c>
    </row>
    <row r="184" spans="1:40" hidden="1" x14ac:dyDescent="0.25">
      <c r="A184" s="81" t="s">
        <v>246</v>
      </c>
      <c r="B184" s="82" t="s">
        <v>71</v>
      </c>
      <c r="C184" s="82" t="s">
        <v>90</v>
      </c>
      <c r="D184" s="82" t="s">
        <v>91</v>
      </c>
      <c r="E184" s="82" t="s">
        <v>92</v>
      </c>
      <c r="F184" s="82" t="s">
        <v>93</v>
      </c>
      <c r="G184" s="82" t="s">
        <v>76</v>
      </c>
      <c r="H184" s="82" t="s">
        <v>77</v>
      </c>
      <c r="I184" s="45" t="s">
        <v>78</v>
      </c>
      <c r="J184" s="82" t="s">
        <v>78</v>
      </c>
      <c r="K184" s="76" t="s">
        <v>3</v>
      </c>
      <c r="L184" s="82" t="s">
        <v>92</v>
      </c>
      <c r="M184" s="82"/>
      <c r="N184" s="52" t="s">
        <v>86</v>
      </c>
      <c r="O184" s="52" t="s">
        <v>81</v>
      </c>
      <c r="P184" s="97">
        <v>0</v>
      </c>
      <c r="Q184" s="98"/>
      <c r="R184" s="82"/>
      <c r="S184" s="48">
        <v>7.0399999999990497</v>
      </c>
      <c r="T184" s="55">
        <v>0</v>
      </c>
      <c r="U184" s="55">
        <v>0</v>
      </c>
      <c r="V184" s="55">
        <f t="shared" si="26"/>
        <v>7.0399999999990497</v>
      </c>
      <c r="W184" s="55">
        <f t="shared" si="27"/>
        <v>0</v>
      </c>
      <c r="X184" s="82"/>
      <c r="Y184" s="50">
        <f t="shared" si="20"/>
        <v>0</v>
      </c>
      <c r="Z184" s="50">
        <f t="shared" si="21"/>
        <v>0</v>
      </c>
      <c r="AA184" s="50">
        <f t="shared" si="25"/>
        <v>0</v>
      </c>
      <c r="AB184" s="50">
        <f t="shared" si="28"/>
        <v>0</v>
      </c>
      <c r="AC184" s="80">
        <v>0.05</v>
      </c>
      <c r="AD184" s="82"/>
      <c r="AE184" s="82"/>
      <c r="AF184" s="82"/>
      <c r="AG184" s="97">
        <v>0</v>
      </c>
      <c r="AH184" s="55">
        <f t="shared" si="31"/>
        <v>0</v>
      </c>
      <c r="AI184" s="55"/>
      <c r="AJ184" s="55">
        <f t="shared" si="29"/>
        <v>0</v>
      </c>
      <c r="AK184" s="55">
        <v>0</v>
      </c>
      <c r="AL184" s="55"/>
      <c r="AM184" s="55">
        <f t="shared" si="30"/>
        <v>0</v>
      </c>
    </row>
    <row r="185" spans="1:40" hidden="1" x14ac:dyDescent="0.25">
      <c r="A185" s="81" t="s">
        <v>246</v>
      </c>
      <c r="B185" s="82" t="s">
        <v>71</v>
      </c>
      <c r="C185" s="82" t="s">
        <v>90</v>
      </c>
      <c r="D185" s="82" t="s">
        <v>91</v>
      </c>
      <c r="E185" s="82" t="s">
        <v>103</v>
      </c>
      <c r="F185" s="82" t="s">
        <v>104</v>
      </c>
      <c r="G185" s="82" t="s">
        <v>76</v>
      </c>
      <c r="H185" s="82" t="s">
        <v>77</v>
      </c>
      <c r="I185" s="45" t="s">
        <v>78</v>
      </c>
      <c r="J185" s="82" t="s">
        <v>78</v>
      </c>
      <c r="K185" s="76" t="s">
        <v>3</v>
      </c>
      <c r="L185" s="82" t="s">
        <v>103</v>
      </c>
      <c r="M185" s="82"/>
      <c r="N185" s="52" t="s">
        <v>86</v>
      </c>
      <c r="O185" s="52" t="s">
        <v>94</v>
      </c>
      <c r="P185" s="97">
        <v>0.02</v>
      </c>
      <c r="Q185" s="98"/>
      <c r="R185" s="82"/>
      <c r="S185" s="48">
        <v>106099.63</v>
      </c>
      <c r="T185" s="55">
        <v>0</v>
      </c>
      <c r="U185" s="55">
        <v>0</v>
      </c>
      <c r="V185" s="55">
        <f t="shared" si="26"/>
        <v>106099.63</v>
      </c>
      <c r="W185" s="55">
        <f t="shared" si="27"/>
        <v>0</v>
      </c>
      <c r="X185" s="82"/>
      <c r="Y185" s="50">
        <f t="shared" si="20"/>
        <v>0</v>
      </c>
      <c r="Z185" s="50">
        <f t="shared" si="21"/>
        <v>0</v>
      </c>
      <c r="AA185" s="50">
        <f t="shared" si="25"/>
        <v>0</v>
      </c>
      <c r="AB185" s="50">
        <f t="shared" si="28"/>
        <v>0</v>
      </c>
      <c r="AC185" s="80">
        <v>0.05</v>
      </c>
      <c r="AD185" s="82"/>
      <c r="AE185" s="82"/>
      <c r="AF185" s="82"/>
      <c r="AG185" s="97">
        <v>0.42</v>
      </c>
      <c r="AH185" s="55">
        <f t="shared" si="31"/>
        <v>0</v>
      </c>
      <c r="AI185" s="55"/>
      <c r="AJ185" s="55">
        <f t="shared" si="29"/>
        <v>0</v>
      </c>
      <c r="AK185" s="55">
        <v>0</v>
      </c>
      <c r="AL185" s="55"/>
      <c r="AM185" s="55">
        <f t="shared" si="30"/>
        <v>0</v>
      </c>
    </row>
    <row r="186" spans="1:40" hidden="1" x14ac:dyDescent="0.25">
      <c r="A186" s="81" t="s">
        <v>246</v>
      </c>
      <c r="B186" s="82" t="s">
        <v>71</v>
      </c>
      <c r="C186" s="82" t="s">
        <v>72</v>
      </c>
      <c r="D186" s="82" t="s">
        <v>122</v>
      </c>
      <c r="E186" s="82" t="s">
        <v>123</v>
      </c>
      <c r="F186" s="82" t="s">
        <v>124</v>
      </c>
      <c r="G186" s="82" t="s">
        <v>76</v>
      </c>
      <c r="H186" s="82" t="s">
        <v>77</v>
      </c>
      <c r="I186" s="45" t="s">
        <v>78</v>
      </c>
      <c r="J186" s="82" t="s">
        <v>78</v>
      </c>
      <c r="K186" s="76" t="s">
        <v>3</v>
      </c>
      <c r="L186" s="82" t="s">
        <v>125</v>
      </c>
      <c r="M186" s="82"/>
      <c r="N186" s="52" t="s">
        <v>126</v>
      </c>
      <c r="O186" s="52" t="s">
        <v>94</v>
      </c>
      <c r="P186" s="97">
        <v>0.18</v>
      </c>
      <c r="Q186" s="98"/>
      <c r="R186" s="82"/>
      <c r="S186" s="48">
        <v>131941.95000000001</v>
      </c>
      <c r="T186" s="55">
        <v>0</v>
      </c>
      <c r="U186" s="55">
        <v>0</v>
      </c>
      <c r="V186" s="55">
        <f t="shared" si="26"/>
        <v>131941.95000000001</v>
      </c>
      <c r="W186" s="55">
        <f t="shared" si="27"/>
        <v>0</v>
      </c>
      <c r="X186" s="82"/>
      <c r="Y186" s="50">
        <f t="shared" si="20"/>
        <v>0</v>
      </c>
      <c r="Z186" s="50">
        <f t="shared" si="21"/>
        <v>0</v>
      </c>
      <c r="AA186" s="50">
        <f t="shared" si="25"/>
        <v>0</v>
      </c>
      <c r="AB186" s="50">
        <f t="shared" si="28"/>
        <v>0</v>
      </c>
      <c r="AC186" s="80">
        <v>0.05</v>
      </c>
      <c r="AD186" s="82"/>
      <c r="AE186" s="82"/>
      <c r="AF186" s="82"/>
      <c r="AG186" s="46">
        <v>0.42</v>
      </c>
      <c r="AH186" s="55">
        <f t="shared" si="31"/>
        <v>0</v>
      </c>
      <c r="AI186" s="55"/>
      <c r="AJ186" s="55">
        <f t="shared" si="29"/>
        <v>0</v>
      </c>
      <c r="AK186" s="55">
        <v>0</v>
      </c>
      <c r="AL186" s="55"/>
      <c r="AM186" s="55">
        <f t="shared" si="30"/>
        <v>0</v>
      </c>
    </row>
    <row r="187" spans="1:40" hidden="1" x14ac:dyDescent="0.25">
      <c r="A187" s="81" t="s">
        <v>246</v>
      </c>
      <c r="B187" s="82" t="s">
        <v>71</v>
      </c>
      <c r="C187" s="82" t="s">
        <v>72</v>
      </c>
      <c r="D187" s="82" t="s">
        <v>73</v>
      </c>
      <c r="E187" s="82" t="s">
        <v>74</v>
      </c>
      <c r="F187" s="82" t="s">
        <v>75</v>
      </c>
      <c r="G187" s="82" t="s">
        <v>76</v>
      </c>
      <c r="H187" s="82" t="s">
        <v>77</v>
      </c>
      <c r="I187" s="45" t="s">
        <v>78</v>
      </c>
      <c r="J187" s="82" t="s">
        <v>78</v>
      </c>
      <c r="K187" s="76" t="s">
        <v>3</v>
      </c>
      <c r="L187" s="82" t="s">
        <v>74</v>
      </c>
      <c r="M187" s="82"/>
      <c r="N187" s="52" t="s">
        <v>86</v>
      </c>
      <c r="O187" s="52" t="s">
        <v>94</v>
      </c>
      <c r="P187" s="97">
        <v>0.03</v>
      </c>
      <c r="Q187" s="98"/>
      <c r="R187" s="82"/>
      <c r="S187" s="48">
        <v>15899.0800000003</v>
      </c>
      <c r="T187" s="55">
        <v>0</v>
      </c>
      <c r="U187" s="55">
        <v>0</v>
      </c>
      <c r="V187" s="55">
        <f t="shared" si="26"/>
        <v>15899.0800000003</v>
      </c>
      <c r="W187" s="55">
        <f t="shared" si="27"/>
        <v>0</v>
      </c>
      <c r="X187" s="82"/>
      <c r="Y187" s="50">
        <f t="shared" si="20"/>
        <v>0</v>
      </c>
      <c r="Z187" s="50">
        <f t="shared" si="21"/>
        <v>0</v>
      </c>
      <c r="AA187" s="50">
        <f t="shared" si="25"/>
        <v>0</v>
      </c>
      <c r="AB187" s="50">
        <f t="shared" si="28"/>
        <v>0</v>
      </c>
      <c r="AC187" s="80">
        <v>0.05</v>
      </c>
      <c r="AD187" s="82"/>
      <c r="AE187" s="82"/>
      <c r="AF187" s="82"/>
      <c r="AG187" s="97">
        <v>7.0000000000000007E-2</v>
      </c>
      <c r="AH187" s="55">
        <f t="shared" si="31"/>
        <v>0</v>
      </c>
      <c r="AI187" s="55"/>
      <c r="AJ187" s="55">
        <f t="shared" si="29"/>
        <v>0</v>
      </c>
      <c r="AK187" s="55">
        <v>0</v>
      </c>
      <c r="AL187" s="55"/>
      <c r="AM187" s="55">
        <f t="shared" si="30"/>
        <v>0</v>
      </c>
    </row>
    <row r="188" spans="1:40" hidden="1" x14ac:dyDescent="0.25">
      <c r="A188" s="81" t="s">
        <v>246</v>
      </c>
      <c r="B188" s="82" t="s">
        <v>71</v>
      </c>
      <c r="C188" s="82" t="s">
        <v>72</v>
      </c>
      <c r="D188" s="82" t="s">
        <v>73</v>
      </c>
      <c r="E188" s="82" t="s">
        <v>74</v>
      </c>
      <c r="F188" s="82" t="s">
        <v>75</v>
      </c>
      <c r="G188" s="82" t="s">
        <v>76</v>
      </c>
      <c r="H188" s="82" t="s">
        <v>77</v>
      </c>
      <c r="I188" s="45" t="s">
        <v>78</v>
      </c>
      <c r="J188" s="82" t="s">
        <v>78</v>
      </c>
      <c r="K188" s="76" t="s">
        <v>3</v>
      </c>
      <c r="L188" s="82" t="s">
        <v>74</v>
      </c>
      <c r="M188" s="82"/>
      <c r="N188" s="52" t="s">
        <v>80</v>
      </c>
      <c r="O188" s="52" t="s">
        <v>94</v>
      </c>
      <c r="P188" s="97">
        <v>0.03</v>
      </c>
      <c r="Q188" s="98"/>
      <c r="R188" s="82"/>
      <c r="S188" s="48">
        <v>2383.1799999999998</v>
      </c>
      <c r="T188" s="55">
        <v>0</v>
      </c>
      <c r="U188" s="55">
        <v>0</v>
      </c>
      <c r="V188" s="55">
        <f t="shared" si="26"/>
        <v>2383.1799999999998</v>
      </c>
      <c r="W188" s="55">
        <f t="shared" si="27"/>
        <v>0</v>
      </c>
      <c r="X188" s="82"/>
      <c r="Y188" s="50">
        <f t="shared" si="20"/>
        <v>0</v>
      </c>
      <c r="Z188" s="50">
        <f t="shared" si="21"/>
        <v>0</v>
      </c>
      <c r="AA188" s="50">
        <f t="shared" si="25"/>
        <v>0</v>
      </c>
      <c r="AB188" s="50">
        <f t="shared" si="28"/>
        <v>0</v>
      </c>
      <c r="AC188" s="80">
        <v>0.05</v>
      </c>
      <c r="AD188" s="82"/>
      <c r="AE188" s="82"/>
      <c r="AF188" s="82"/>
      <c r="AG188" s="97">
        <v>7.0000000000000007E-2</v>
      </c>
      <c r="AH188" s="55">
        <f t="shared" si="31"/>
        <v>0</v>
      </c>
      <c r="AI188" s="55"/>
      <c r="AJ188" s="55">
        <f t="shared" si="29"/>
        <v>0</v>
      </c>
      <c r="AK188" s="55">
        <v>0</v>
      </c>
      <c r="AL188" s="55"/>
      <c r="AM188" s="55">
        <f t="shared" si="30"/>
        <v>0</v>
      </c>
    </row>
    <row r="189" spans="1:40" hidden="1" x14ac:dyDescent="0.25">
      <c r="A189" s="81" t="s">
        <v>246</v>
      </c>
      <c r="B189" s="82" t="s">
        <v>71</v>
      </c>
      <c r="C189" s="82" t="s">
        <v>82</v>
      </c>
      <c r="D189" s="82" t="s">
        <v>117</v>
      </c>
      <c r="E189" s="82" t="s">
        <v>118</v>
      </c>
      <c r="F189" s="82" t="s">
        <v>119</v>
      </c>
      <c r="G189" s="82" t="s">
        <v>76</v>
      </c>
      <c r="H189" s="82" t="s">
        <v>77</v>
      </c>
      <c r="I189" s="45" t="s">
        <v>78</v>
      </c>
      <c r="J189" s="82" t="s">
        <v>78</v>
      </c>
      <c r="K189" s="76" t="s">
        <v>3</v>
      </c>
      <c r="L189" s="82" t="s">
        <v>120</v>
      </c>
      <c r="M189" s="82"/>
      <c r="N189" s="52" t="s">
        <v>80</v>
      </c>
      <c r="O189" s="52" t="s">
        <v>94</v>
      </c>
      <c r="P189" s="97">
        <v>0.05</v>
      </c>
      <c r="Q189" s="98"/>
      <c r="R189" s="82"/>
      <c r="S189" s="48">
        <v>1766.24</v>
      </c>
      <c r="T189" s="55">
        <v>0</v>
      </c>
      <c r="U189" s="55">
        <v>0</v>
      </c>
      <c r="V189" s="55">
        <f t="shared" si="26"/>
        <v>1766.24</v>
      </c>
      <c r="W189" s="55">
        <f t="shared" si="27"/>
        <v>0</v>
      </c>
      <c r="X189" s="82"/>
      <c r="Y189" s="50">
        <f t="shared" si="20"/>
        <v>0</v>
      </c>
      <c r="Z189" s="50">
        <f t="shared" si="21"/>
        <v>0</v>
      </c>
      <c r="AA189" s="50">
        <f t="shared" si="25"/>
        <v>0</v>
      </c>
      <c r="AB189" s="50">
        <f t="shared" si="28"/>
        <v>0</v>
      </c>
      <c r="AC189" s="80">
        <v>0.05</v>
      </c>
      <c r="AD189" s="82"/>
      <c r="AE189" s="82"/>
      <c r="AF189" s="82"/>
      <c r="AG189" s="97">
        <v>0.42</v>
      </c>
      <c r="AH189" s="55">
        <f t="shared" si="31"/>
        <v>0</v>
      </c>
      <c r="AI189" s="55"/>
      <c r="AJ189" s="55">
        <f t="shared" si="29"/>
        <v>0</v>
      </c>
      <c r="AK189" s="55">
        <v>0</v>
      </c>
      <c r="AL189" s="55"/>
      <c r="AM189" s="55">
        <f t="shared" si="30"/>
        <v>0</v>
      </c>
    </row>
    <row r="190" spans="1:40" hidden="1" x14ac:dyDescent="0.25">
      <c r="A190" s="81" t="s">
        <v>246</v>
      </c>
      <c r="B190" s="82" t="s">
        <v>71</v>
      </c>
      <c r="C190" s="82" t="s">
        <v>127</v>
      </c>
      <c r="D190" s="82" t="s">
        <v>128</v>
      </c>
      <c r="E190" s="82" t="s">
        <v>129</v>
      </c>
      <c r="F190" s="82" t="s">
        <v>130</v>
      </c>
      <c r="G190" s="82" t="s">
        <v>76</v>
      </c>
      <c r="H190" s="82" t="s">
        <v>77</v>
      </c>
      <c r="I190" s="45" t="s">
        <v>78</v>
      </c>
      <c r="J190" s="82" t="s">
        <v>78</v>
      </c>
      <c r="K190" s="76" t="s">
        <v>3</v>
      </c>
      <c r="L190" s="82" t="s">
        <v>125</v>
      </c>
      <c r="M190" s="82"/>
      <c r="N190" s="52" t="s">
        <v>126</v>
      </c>
      <c r="O190" s="52" t="s">
        <v>94</v>
      </c>
      <c r="P190" s="97">
        <v>0.18</v>
      </c>
      <c r="Q190" s="98"/>
      <c r="R190" s="82"/>
      <c r="S190" s="48">
        <v>8102.9149295775096</v>
      </c>
      <c r="T190" s="55">
        <v>0</v>
      </c>
      <c r="U190" s="55">
        <v>0</v>
      </c>
      <c r="V190" s="55">
        <f t="shared" si="26"/>
        <v>8102.9149295775096</v>
      </c>
      <c r="W190" s="55">
        <f t="shared" si="27"/>
        <v>0</v>
      </c>
      <c r="X190" s="82"/>
      <c r="Y190" s="50">
        <f t="shared" si="20"/>
        <v>0</v>
      </c>
      <c r="Z190" s="50">
        <f t="shared" si="21"/>
        <v>0</v>
      </c>
      <c r="AA190" s="50">
        <f t="shared" si="25"/>
        <v>0</v>
      </c>
      <c r="AB190" s="50">
        <f t="shared" si="28"/>
        <v>0</v>
      </c>
      <c r="AC190" s="80">
        <v>0.05</v>
      </c>
      <c r="AD190" s="82"/>
      <c r="AE190" s="82"/>
      <c r="AF190" s="82"/>
      <c r="AG190" s="97">
        <v>0.42</v>
      </c>
      <c r="AH190" s="55">
        <f t="shared" si="31"/>
        <v>0</v>
      </c>
      <c r="AI190" s="55"/>
      <c r="AJ190" s="55">
        <f t="shared" si="29"/>
        <v>0</v>
      </c>
      <c r="AK190" s="55">
        <v>0</v>
      </c>
      <c r="AL190" s="55"/>
      <c r="AM190" s="55">
        <f t="shared" si="30"/>
        <v>0</v>
      </c>
    </row>
    <row r="191" spans="1:40" hidden="1" x14ac:dyDescent="0.25">
      <c r="A191" s="81" t="s">
        <v>246</v>
      </c>
      <c r="B191" s="82" t="s">
        <v>71</v>
      </c>
      <c r="C191" s="82" t="s">
        <v>127</v>
      </c>
      <c r="D191" s="82" t="s">
        <v>128</v>
      </c>
      <c r="E191" s="82" t="s">
        <v>151</v>
      </c>
      <c r="F191" s="82" t="s">
        <v>152</v>
      </c>
      <c r="G191" s="82" t="s">
        <v>76</v>
      </c>
      <c r="H191" s="82" t="s">
        <v>77</v>
      </c>
      <c r="I191" s="45" t="s">
        <v>78</v>
      </c>
      <c r="J191" s="82" t="s">
        <v>78</v>
      </c>
      <c r="K191" s="76" t="s">
        <v>3</v>
      </c>
      <c r="L191" s="82" t="s">
        <v>125</v>
      </c>
      <c r="M191" s="82"/>
      <c r="N191" s="52" t="s">
        <v>126</v>
      </c>
      <c r="O191" s="52" t="s">
        <v>94</v>
      </c>
      <c r="P191" s="46">
        <v>0.23</v>
      </c>
      <c r="Q191" s="98"/>
      <c r="R191" s="82"/>
      <c r="S191" s="48">
        <v>2063.5353521120301</v>
      </c>
      <c r="T191" s="55">
        <v>0</v>
      </c>
      <c r="U191" s="55">
        <v>0</v>
      </c>
      <c r="V191" s="55">
        <f t="shared" si="26"/>
        <v>2063.5353521120301</v>
      </c>
      <c r="W191" s="55">
        <f t="shared" si="27"/>
        <v>0</v>
      </c>
      <c r="X191" s="82"/>
      <c r="Y191" s="50">
        <f t="shared" si="20"/>
        <v>0</v>
      </c>
      <c r="Z191" s="50">
        <f t="shared" si="21"/>
        <v>0</v>
      </c>
      <c r="AA191" s="50">
        <f t="shared" si="25"/>
        <v>0</v>
      </c>
      <c r="AB191" s="50">
        <f t="shared" si="28"/>
        <v>0</v>
      </c>
      <c r="AC191" s="80">
        <v>0.05</v>
      </c>
      <c r="AD191" s="82"/>
      <c r="AE191" s="82"/>
      <c r="AF191" s="82"/>
      <c r="AG191" s="97">
        <v>0.42</v>
      </c>
      <c r="AH191" s="55">
        <f t="shared" si="31"/>
        <v>0</v>
      </c>
      <c r="AI191" s="55"/>
      <c r="AJ191" s="55">
        <f t="shared" si="29"/>
        <v>0</v>
      </c>
      <c r="AK191" s="55">
        <v>0</v>
      </c>
      <c r="AL191" s="55"/>
      <c r="AM191" s="55">
        <f t="shared" si="30"/>
        <v>0</v>
      </c>
    </row>
    <row r="192" spans="1:40" hidden="1" x14ac:dyDescent="0.25">
      <c r="A192" s="81" t="s">
        <v>246</v>
      </c>
      <c r="B192" s="82" t="s">
        <v>71</v>
      </c>
      <c r="C192" s="82" t="s">
        <v>127</v>
      </c>
      <c r="D192" s="82" t="s">
        <v>128</v>
      </c>
      <c r="E192" s="82" t="s">
        <v>131</v>
      </c>
      <c r="F192" s="82" t="s">
        <v>132</v>
      </c>
      <c r="G192" s="82" t="s">
        <v>76</v>
      </c>
      <c r="H192" s="82" t="s">
        <v>77</v>
      </c>
      <c r="I192" s="45" t="s">
        <v>78</v>
      </c>
      <c r="J192" s="82" t="s">
        <v>78</v>
      </c>
      <c r="K192" s="76" t="s">
        <v>3</v>
      </c>
      <c r="L192" s="82" t="s">
        <v>125</v>
      </c>
      <c r="M192" s="82"/>
      <c r="N192" s="52" t="s">
        <v>126</v>
      </c>
      <c r="O192" s="52" t="s">
        <v>94</v>
      </c>
      <c r="P192" s="97">
        <v>0.03</v>
      </c>
      <c r="Q192" s="98"/>
      <c r="R192" s="82"/>
      <c r="S192" s="48">
        <v>655.37999999978604</v>
      </c>
      <c r="T192" s="55">
        <v>0</v>
      </c>
      <c r="U192" s="55">
        <v>0</v>
      </c>
      <c r="V192" s="55">
        <f t="shared" si="26"/>
        <v>655.37999999978604</v>
      </c>
      <c r="W192" s="55">
        <f t="shared" si="27"/>
        <v>0</v>
      </c>
      <c r="X192" s="82"/>
      <c r="Y192" s="50">
        <f t="shared" si="20"/>
        <v>0</v>
      </c>
      <c r="Z192" s="50">
        <f t="shared" si="21"/>
        <v>0</v>
      </c>
      <c r="AA192" s="50">
        <f t="shared" si="25"/>
        <v>0</v>
      </c>
      <c r="AB192" s="50">
        <f t="shared" si="28"/>
        <v>0</v>
      </c>
      <c r="AC192" s="80">
        <v>0.05</v>
      </c>
      <c r="AD192" s="82"/>
      <c r="AE192" s="82"/>
      <c r="AF192" s="82"/>
      <c r="AG192" s="97">
        <v>0.42</v>
      </c>
      <c r="AH192" s="55">
        <f t="shared" si="31"/>
        <v>0</v>
      </c>
      <c r="AI192" s="55"/>
      <c r="AJ192" s="55">
        <f t="shared" si="29"/>
        <v>0</v>
      </c>
      <c r="AK192" s="55">
        <v>0</v>
      </c>
      <c r="AL192" s="55"/>
      <c r="AM192" s="55">
        <f t="shared" si="30"/>
        <v>0</v>
      </c>
    </row>
    <row r="193" spans="1:39" hidden="1" x14ac:dyDescent="0.25">
      <c r="A193" s="81" t="s">
        <v>246</v>
      </c>
      <c r="B193" s="82" t="s">
        <v>71</v>
      </c>
      <c r="C193" s="82" t="s">
        <v>127</v>
      </c>
      <c r="D193" s="82" t="s">
        <v>128</v>
      </c>
      <c r="E193" s="82" t="s">
        <v>133</v>
      </c>
      <c r="F193" s="82" t="s">
        <v>134</v>
      </c>
      <c r="G193" s="82" t="s">
        <v>76</v>
      </c>
      <c r="H193" s="82" t="s">
        <v>77</v>
      </c>
      <c r="I193" s="45" t="s">
        <v>78</v>
      </c>
      <c r="J193" s="82" t="s">
        <v>78</v>
      </c>
      <c r="K193" s="76" t="s">
        <v>3</v>
      </c>
      <c r="L193" s="82" t="s">
        <v>125</v>
      </c>
      <c r="M193" s="82"/>
      <c r="N193" s="52" t="s">
        <v>126</v>
      </c>
      <c r="O193" s="52" t="s">
        <v>94</v>
      </c>
      <c r="P193" s="97">
        <v>0.22</v>
      </c>
      <c r="Q193" s="98"/>
      <c r="R193" s="82"/>
      <c r="S193" s="48">
        <v>354.84000000002601</v>
      </c>
      <c r="T193" s="55">
        <v>0</v>
      </c>
      <c r="U193" s="55">
        <v>0</v>
      </c>
      <c r="V193" s="55">
        <f t="shared" si="26"/>
        <v>354.84000000002601</v>
      </c>
      <c r="W193" s="55">
        <f t="shared" si="27"/>
        <v>0</v>
      </c>
      <c r="X193" s="82"/>
      <c r="Y193" s="50">
        <f t="shared" si="20"/>
        <v>0</v>
      </c>
      <c r="Z193" s="50">
        <f t="shared" si="21"/>
        <v>0</v>
      </c>
      <c r="AA193" s="50">
        <f t="shared" si="25"/>
        <v>0</v>
      </c>
      <c r="AB193" s="50">
        <f t="shared" si="28"/>
        <v>0</v>
      </c>
      <c r="AC193" s="80">
        <v>0.05</v>
      </c>
      <c r="AD193" s="82"/>
      <c r="AE193" s="82"/>
      <c r="AF193" s="82"/>
      <c r="AG193" s="97">
        <v>0.42</v>
      </c>
      <c r="AH193" s="55">
        <f t="shared" si="31"/>
        <v>0</v>
      </c>
      <c r="AI193" s="55"/>
      <c r="AJ193" s="55">
        <f t="shared" si="29"/>
        <v>0</v>
      </c>
      <c r="AK193" s="55">
        <v>0</v>
      </c>
      <c r="AL193" s="55"/>
      <c r="AM193" s="55">
        <f t="shared" si="30"/>
        <v>0</v>
      </c>
    </row>
    <row r="194" spans="1:39" hidden="1" x14ac:dyDescent="0.25">
      <c r="A194" s="81" t="s">
        <v>246</v>
      </c>
      <c r="B194" s="82" t="s">
        <v>71</v>
      </c>
      <c r="C194" s="82" t="s">
        <v>127</v>
      </c>
      <c r="D194" s="82" t="s">
        <v>128</v>
      </c>
      <c r="E194" s="82" t="s">
        <v>135</v>
      </c>
      <c r="F194" s="82" t="s">
        <v>136</v>
      </c>
      <c r="G194" s="82" t="s">
        <v>76</v>
      </c>
      <c r="H194" s="82" t="s">
        <v>77</v>
      </c>
      <c r="I194" s="45" t="s">
        <v>78</v>
      </c>
      <c r="J194" s="82" t="s">
        <v>78</v>
      </c>
      <c r="K194" s="76" t="s">
        <v>3</v>
      </c>
      <c r="L194" s="82" t="s">
        <v>125</v>
      </c>
      <c r="M194" s="82"/>
      <c r="N194" s="52" t="s">
        <v>126</v>
      </c>
      <c r="O194" s="52" t="s">
        <v>94</v>
      </c>
      <c r="P194" s="97">
        <v>0.08</v>
      </c>
      <c r="Q194" s="98"/>
      <c r="R194" s="82"/>
      <c r="S194" s="48">
        <v>0</v>
      </c>
      <c r="T194" s="55">
        <v>0</v>
      </c>
      <c r="U194" s="55">
        <v>0</v>
      </c>
      <c r="V194" s="55">
        <f t="shared" si="26"/>
        <v>0</v>
      </c>
      <c r="W194" s="55">
        <f t="shared" si="27"/>
        <v>0</v>
      </c>
      <c r="X194" s="82"/>
      <c r="Y194" s="50">
        <f t="shared" ref="Y194:Y257" si="32">IF(W194-AB194&lt;0,0,IF(O194="返现",MAX(W194-AA194-AB194,0),MAX(W194-AB194,0)))</f>
        <v>0</v>
      </c>
      <c r="Z194" s="50">
        <f t="shared" ref="Z194:Z257" si="33">W194+X194+AN194</f>
        <v>0</v>
      </c>
      <c r="AA194" s="50">
        <f t="shared" si="25"/>
        <v>0</v>
      </c>
      <c r="AB194" s="50">
        <f t="shared" si="28"/>
        <v>0</v>
      </c>
      <c r="AC194" s="80">
        <v>0.05</v>
      </c>
      <c r="AD194" s="82"/>
      <c r="AE194" s="82"/>
      <c r="AF194" s="82"/>
      <c r="AG194" s="97" t="s">
        <v>137</v>
      </c>
      <c r="AH194" s="55">
        <f t="shared" si="31"/>
        <v>0</v>
      </c>
      <c r="AI194" s="55"/>
      <c r="AJ194" s="55">
        <f t="shared" si="29"/>
        <v>0</v>
      </c>
      <c r="AK194" s="55">
        <v>0</v>
      </c>
      <c r="AL194" s="55"/>
      <c r="AM194" s="55">
        <f t="shared" si="30"/>
        <v>0</v>
      </c>
    </row>
    <row r="195" spans="1:39" hidden="1" x14ac:dyDescent="0.25">
      <c r="A195" s="81" t="s">
        <v>246</v>
      </c>
      <c r="B195" s="82" t="s">
        <v>71</v>
      </c>
      <c r="C195" s="82" t="s">
        <v>127</v>
      </c>
      <c r="D195" s="82" t="s">
        <v>128</v>
      </c>
      <c r="E195" s="82" t="s">
        <v>138</v>
      </c>
      <c r="F195" s="82" t="s">
        <v>139</v>
      </c>
      <c r="G195" s="82" t="s">
        <v>76</v>
      </c>
      <c r="H195" s="82" t="s">
        <v>77</v>
      </c>
      <c r="I195" s="45" t="s">
        <v>78</v>
      </c>
      <c r="J195" s="82" t="s">
        <v>78</v>
      </c>
      <c r="K195" s="76" t="s">
        <v>3</v>
      </c>
      <c r="L195" s="82" t="s">
        <v>125</v>
      </c>
      <c r="M195" s="82"/>
      <c r="N195" s="52" t="s">
        <v>126</v>
      </c>
      <c r="O195" s="52" t="s">
        <v>94</v>
      </c>
      <c r="P195" s="97">
        <v>0.04</v>
      </c>
      <c r="Q195" s="98"/>
      <c r="R195" s="82"/>
      <c r="S195" s="48">
        <v>227.30774647876399</v>
      </c>
      <c r="T195" s="55">
        <v>0</v>
      </c>
      <c r="U195" s="55">
        <v>0</v>
      </c>
      <c r="V195" s="55">
        <f t="shared" si="26"/>
        <v>227.30774647876399</v>
      </c>
      <c r="W195" s="55">
        <f t="shared" si="27"/>
        <v>0</v>
      </c>
      <c r="X195" s="82"/>
      <c r="Y195" s="50">
        <f t="shared" si="32"/>
        <v>0</v>
      </c>
      <c r="Z195" s="50">
        <f t="shared" si="33"/>
        <v>0</v>
      </c>
      <c r="AA195" s="50">
        <f t="shared" si="25"/>
        <v>0</v>
      </c>
      <c r="AB195" s="50">
        <f t="shared" si="28"/>
        <v>0</v>
      </c>
      <c r="AC195" s="80">
        <v>0.05</v>
      </c>
      <c r="AD195" s="82"/>
      <c r="AE195" s="82"/>
      <c r="AF195" s="82"/>
      <c r="AG195" s="97">
        <v>0.42</v>
      </c>
      <c r="AH195" s="55">
        <f t="shared" si="31"/>
        <v>0</v>
      </c>
      <c r="AI195" s="55"/>
      <c r="AJ195" s="55">
        <f t="shared" si="29"/>
        <v>0</v>
      </c>
      <c r="AK195" s="55">
        <v>0</v>
      </c>
      <c r="AL195" s="55"/>
      <c r="AM195" s="55">
        <f t="shared" si="30"/>
        <v>0</v>
      </c>
    </row>
    <row r="196" spans="1:39" hidden="1" x14ac:dyDescent="0.25">
      <c r="A196" s="81" t="s">
        <v>246</v>
      </c>
      <c r="B196" s="82" t="s">
        <v>71</v>
      </c>
      <c r="C196" s="82" t="s">
        <v>127</v>
      </c>
      <c r="D196" s="82" t="s">
        <v>128</v>
      </c>
      <c r="E196" s="82" t="s">
        <v>123</v>
      </c>
      <c r="F196" s="82" t="s">
        <v>140</v>
      </c>
      <c r="G196" s="82" t="s">
        <v>76</v>
      </c>
      <c r="H196" s="82" t="s">
        <v>77</v>
      </c>
      <c r="I196" s="45" t="s">
        <v>78</v>
      </c>
      <c r="J196" s="82" t="s">
        <v>78</v>
      </c>
      <c r="K196" s="76" t="s">
        <v>3</v>
      </c>
      <c r="L196" s="82" t="s">
        <v>125</v>
      </c>
      <c r="M196" s="82"/>
      <c r="N196" s="52" t="s">
        <v>126</v>
      </c>
      <c r="O196" s="52" t="s">
        <v>94</v>
      </c>
      <c r="P196" s="97">
        <v>0.23</v>
      </c>
      <c r="Q196" s="98"/>
      <c r="R196" s="82"/>
      <c r="S196" s="48">
        <v>152.264929577999</v>
      </c>
      <c r="T196" s="55">
        <v>0</v>
      </c>
      <c r="U196" s="55">
        <v>0</v>
      </c>
      <c r="V196" s="55">
        <f t="shared" si="26"/>
        <v>152.264929577999</v>
      </c>
      <c r="W196" s="55">
        <f t="shared" si="27"/>
        <v>0</v>
      </c>
      <c r="X196" s="82"/>
      <c r="Y196" s="50">
        <f t="shared" si="32"/>
        <v>0</v>
      </c>
      <c r="Z196" s="50">
        <f t="shared" si="33"/>
        <v>0</v>
      </c>
      <c r="AA196" s="50">
        <f t="shared" si="25"/>
        <v>0</v>
      </c>
      <c r="AB196" s="50">
        <f t="shared" si="28"/>
        <v>0</v>
      </c>
      <c r="AC196" s="80">
        <v>0.05</v>
      </c>
      <c r="AD196" s="82"/>
      <c r="AE196" s="82"/>
      <c r="AF196" s="82"/>
      <c r="AG196" s="97" t="s">
        <v>137</v>
      </c>
      <c r="AH196" s="55">
        <f t="shared" si="31"/>
        <v>0</v>
      </c>
      <c r="AI196" s="55"/>
      <c r="AJ196" s="55">
        <f t="shared" si="29"/>
        <v>0</v>
      </c>
      <c r="AK196" s="55">
        <v>0</v>
      </c>
      <c r="AL196" s="55"/>
      <c r="AM196" s="55">
        <f t="shared" si="30"/>
        <v>0</v>
      </c>
    </row>
    <row r="197" spans="1:39" hidden="1" x14ac:dyDescent="0.25">
      <c r="A197" s="81" t="s">
        <v>246</v>
      </c>
      <c r="B197" s="82" t="s">
        <v>71</v>
      </c>
      <c r="C197" s="82" t="s">
        <v>127</v>
      </c>
      <c r="D197" s="82" t="s">
        <v>128</v>
      </c>
      <c r="E197" s="82" t="s">
        <v>141</v>
      </c>
      <c r="F197" s="82" t="s">
        <v>142</v>
      </c>
      <c r="G197" s="82" t="s">
        <v>76</v>
      </c>
      <c r="H197" s="82" t="s">
        <v>77</v>
      </c>
      <c r="I197" s="45" t="s">
        <v>78</v>
      </c>
      <c r="J197" s="82" t="s">
        <v>78</v>
      </c>
      <c r="K197" s="76" t="s">
        <v>3</v>
      </c>
      <c r="L197" s="82" t="s">
        <v>125</v>
      </c>
      <c r="M197" s="82"/>
      <c r="N197" s="52" t="s">
        <v>126</v>
      </c>
      <c r="O197" s="52" t="s">
        <v>94</v>
      </c>
      <c r="P197" s="97">
        <v>0.13</v>
      </c>
      <c r="Q197" s="98"/>
      <c r="R197" s="82"/>
      <c r="S197" s="48">
        <v>-30329.470000000099</v>
      </c>
      <c r="T197" s="55">
        <v>0</v>
      </c>
      <c r="U197" s="55">
        <v>0</v>
      </c>
      <c r="V197" s="55">
        <f t="shared" si="26"/>
        <v>-30329.470000000099</v>
      </c>
      <c r="W197" s="55">
        <f t="shared" si="27"/>
        <v>0</v>
      </c>
      <c r="X197" s="82"/>
      <c r="Y197" s="50">
        <f t="shared" si="32"/>
        <v>0</v>
      </c>
      <c r="Z197" s="50">
        <f t="shared" si="33"/>
        <v>0</v>
      </c>
      <c r="AA197" s="50">
        <f t="shared" ref="AA197:AA221" si="34">U197-W197</f>
        <v>0</v>
      </c>
      <c r="AB197" s="50">
        <f t="shared" si="28"/>
        <v>0</v>
      </c>
      <c r="AC197" s="80">
        <v>0.05</v>
      </c>
      <c r="AD197" s="82"/>
      <c r="AE197" s="82"/>
      <c r="AF197" s="82"/>
      <c r="AG197" s="97" t="s">
        <v>137</v>
      </c>
      <c r="AH197" s="55">
        <f t="shared" si="31"/>
        <v>0</v>
      </c>
      <c r="AI197" s="55"/>
      <c r="AJ197" s="55">
        <f t="shared" si="29"/>
        <v>0</v>
      </c>
      <c r="AK197" s="55">
        <v>0</v>
      </c>
      <c r="AL197" s="55"/>
      <c r="AM197" s="55">
        <f t="shared" si="30"/>
        <v>0</v>
      </c>
    </row>
    <row r="198" spans="1:39" hidden="1" x14ac:dyDescent="0.25">
      <c r="A198" s="81" t="s">
        <v>246</v>
      </c>
      <c r="B198" s="82" t="s">
        <v>71</v>
      </c>
      <c r="C198" s="82" t="s">
        <v>127</v>
      </c>
      <c r="D198" s="82" t="s">
        <v>128</v>
      </c>
      <c r="E198" s="82" t="s">
        <v>143</v>
      </c>
      <c r="F198" s="82" t="s">
        <v>144</v>
      </c>
      <c r="G198" s="82" t="s">
        <v>76</v>
      </c>
      <c r="H198" s="82" t="s">
        <v>77</v>
      </c>
      <c r="I198" s="45" t="s">
        <v>78</v>
      </c>
      <c r="J198" s="82" t="s">
        <v>78</v>
      </c>
      <c r="K198" s="76" t="s">
        <v>3</v>
      </c>
      <c r="L198" s="82" t="s">
        <v>125</v>
      </c>
      <c r="M198" s="82"/>
      <c r="N198" s="52" t="s">
        <v>126</v>
      </c>
      <c r="O198" s="52" t="s">
        <v>94</v>
      </c>
      <c r="P198" s="97">
        <v>0.03</v>
      </c>
      <c r="Q198" s="98"/>
      <c r="R198" s="82"/>
      <c r="S198" s="48">
        <v>425.555211267598</v>
      </c>
      <c r="T198" s="55">
        <v>0</v>
      </c>
      <c r="U198" s="55">
        <v>0</v>
      </c>
      <c r="V198" s="55">
        <f t="shared" si="26"/>
        <v>425.555211267598</v>
      </c>
      <c r="W198" s="55">
        <f t="shared" si="27"/>
        <v>0</v>
      </c>
      <c r="X198" s="82"/>
      <c r="Y198" s="50">
        <f t="shared" si="32"/>
        <v>0</v>
      </c>
      <c r="Z198" s="50">
        <f t="shared" si="33"/>
        <v>0</v>
      </c>
      <c r="AA198" s="50">
        <f t="shared" si="34"/>
        <v>0</v>
      </c>
      <c r="AB198" s="50">
        <f t="shared" si="28"/>
        <v>0</v>
      </c>
      <c r="AC198" s="80">
        <v>0.05</v>
      </c>
      <c r="AD198" s="82"/>
      <c r="AE198" s="82"/>
      <c r="AF198" s="82"/>
      <c r="AG198" s="97">
        <v>0.42</v>
      </c>
      <c r="AH198" s="55">
        <f t="shared" si="31"/>
        <v>0</v>
      </c>
      <c r="AI198" s="55"/>
      <c r="AJ198" s="55">
        <f t="shared" si="29"/>
        <v>0</v>
      </c>
      <c r="AK198" s="55">
        <v>0</v>
      </c>
      <c r="AL198" s="55"/>
      <c r="AM198" s="55">
        <f t="shared" si="30"/>
        <v>0</v>
      </c>
    </row>
    <row r="199" spans="1:39" hidden="1" x14ac:dyDescent="0.25">
      <c r="A199" s="81" t="s">
        <v>246</v>
      </c>
      <c r="B199" s="82" t="s">
        <v>71</v>
      </c>
      <c r="C199" s="82" t="s">
        <v>127</v>
      </c>
      <c r="D199" s="82" t="s">
        <v>128</v>
      </c>
      <c r="E199" s="82" t="s">
        <v>145</v>
      </c>
      <c r="F199" s="82" t="s">
        <v>146</v>
      </c>
      <c r="G199" s="82" t="s">
        <v>76</v>
      </c>
      <c r="H199" s="82" t="s">
        <v>77</v>
      </c>
      <c r="I199" s="45" t="s">
        <v>78</v>
      </c>
      <c r="J199" s="82" t="s">
        <v>78</v>
      </c>
      <c r="K199" s="76" t="s">
        <v>3</v>
      </c>
      <c r="L199" s="82" t="s">
        <v>125</v>
      </c>
      <c r="M199" s="82"/>
      <c r="N199" s="52" t="s">
        <v>126</v>
      </c>
      <c r="O199" s="52" t="s">
        <v>94</v>
      </c>
      <c r="P199" s="97">
        <v>0.22</v>
      </c>
      <c r="Q199" s="98"/>
      <c r="R199" s="82"/>
      <c r="S199" s="48">
        <v>1402.38690140774</v>
      </c>
      <c r="T199" s="55">
        <v>0</v>
      </c>
      <c r="U199" s="55">
        <v>0</v>
      </c>
      <c r="V199" s="55">
        <f t="shared" si="26"/>
        <v>1402.38690140774</v>
      </c>
      <c r="W199" s="55">
        <f t="shared" si="27"/>
        <v>0</v>
      </c>
      <c r="X199" s="82"/>
      <c r="Y199" s="50">
        <f t="shared" si="32"/>
        <v>0</v>
      </c>
      <c r="Z199" s="50">
        <f t="shared" si="33"/>
        <v>0</v>
      </c>
      <c r="AA199" s="50">
        <f t="shared" si="34"/>
        <v>0</v>
      </c>
      <c r="AB199" s="50">
        <f t="shared" si="28"/>
        <v>0</v>
      </c>
      <c r="AC199" s="80">
        <v>0.05</v>
      </c>
      <c r="AD199" s="82"/>
      <c r="AE199" s="82"/>
      <c r="AF199" s="82"/>
      <c r="AG199" s="97">
        <v>0.42</v>
      </c>
      <c r="AH199" s="55">
        <f t="shared" si="31"/>
        <v>0</v>
      </c>
      <c r="AI199" s="55"/>
      <c r="AJ199" s="55">
        <f t="shared" si="29"/>
        <v>0</v>
      </c>
      <c r="AK199" s="55">
        <v>0</v>
      </c>
      <c r="AL199" s="55"/>
      <c r="AM199" s="55">
        <f t="shared" si="30"/>
        <v>0</v>
      </c>
    </row>
    <row r="200" spans="1:39" hidden="1" x14ac:dyDescent="0.25">
      <c r="A200" s="81" t="s">
        <v>246</v>
      </c>
      <c r="B200" s="82" t="s">
        <v>71</v>
      </c>
      <c r="C200" s="82" t="s">
        <v>127</v>
      </c>
      <c r="D200" s="82" t="s">
        <v>128</v>
      </c>
      <c r="E200" s="82" t="s">
        <v>147</v>
      </c>
      <c r="F200" s="82" t="s">
        <v>148</v>
      </c>
      <c r="G200" s="82" t="s">
        <v>76</v>
      </c>
      <c r="H200" s="82" t="s">
        <v>77</v>
      </c>
      <c r="I200" s="45" t="s">
        <v>78</v>
      </c>
      <c r="J200" s="82" t="s">
        <v>78</v>
      </c>
      <c r="K200" s="76" t="s">
        <v>3</v>
      </c>
      <c r="L200" s="82" t="s">
        <v>125</v>
      </c>
      <c r="M200" s="82"/>
      <c r="N200" s="52" t="s">
        <v>126</v>
      </c>
      <c r="O200" s="52" t="s">
        <v>94</v>
      </c>
      <c r="P200" s="97">
        <v>0.23</v>
      </c>
      <c r="Q200" s="98"/>
      <c r="R200" s="82"/>
      <c r="S200" s="48">
        <v>12961.68</v>
      </c>
      <c r="T200" s="55">
        <v>0</v>
      </c>
      <c r="U200" s="55">
        <v>0</v>
      </c>
      <c r="V200" s="55">
        <f t="shared" si="26"/>
        <v>12961.68</v>
      </c>
      <c r="W200" s="55">
        <f t="shared" si="27"/>
        <v>0</v>
      </c>
      <c r="X200" s="82"/>
      <c r="Y200" s="50">
        <f t="shared" si="32"/>
        <v>0</v>
      </c>
      <c r="Z200" s="50">
        <f t="shared" si="33"/>
        <v>0</v>
      </c>
      <c r="AA200" s="50">
        <f t="shared" si="34"/>
        <v>0</v>
      </c>
      <c r="AB200" s="50">
        <f t="shared" si="28"/>
        <v>0</v>
      </c>
      <c r="AC200" s="80">
        <v>0.05</v>
      </c>
      <c r="AD200" s="82"/>
      <c r="AE200" s="82"/>
      <c r="AF200" s="82"/>
      <c r="AG200" s="97">
        <v>0.42</v>
      </c>
      <c r="AH200" s="55">
        <f t="shared" si="31"/>
        <v>0</v>
      </c>
      <c r="AI200" s="55"/>
      <c r="AJ200" s="55">
        <f t="shared" si="29"/>
        <v>0</v>
      </c>
      <c r="AK200" s="55">
        <v>0</v>
      </c>
      <c r="AL200" s="55"/>
      <c r="AM200" s="55">
        <f t="shared" si="30"/>
        <v>0</v>
      </c>
    </row>
    <row r="201" spans="1:39" hidden="1" x14ac:dyDescent="0.25">
      <c r="A201" s="81" t="s">
        <v>246</v>
      </c>
      <c r="B201" s="82" t="s">
        <v>71</v>
      </c>
      <c r="C201" s="82" t="s">
        <v>127</v>
      </c>
      <c r="D201" s="82" t="s">
        <v>128</v>
      </c>
      <c r="E201" s="82" t="s">
        <v>149</v>
      </c>
      <c r="F201" s="82" t="s">
        <v>150</v>
      </c>
      <c r="G201" s="82" t="s">
        <v>76</v>
      </c>
      <c r="H201" s="82" t="s">
        <v>77</v>
      </c>
      <c r="I201" s="45" t="s">
        <v>78</v>
      </c>
      <c r="J201" s="82" t="s">
        <v>78</v>
      </c>
      <c r="K201" s="76" t="s">
        <v>3</v>
      </c>
      <c r="L201" s="82" t="s">
        <v>125</v>
      </c>
      <c r="M201" s="82"/>
      <c r="N201" s="52" t="s">
        <v>126</v>
      </c>
      <c r="O201" s="52" t="s">
        <v>94</v>
      </c>
      <c r="P201" s="97">
        <v>0.13</v>
      </c>
      <c r="Q201" s="98"/>
      <c r="R201" s="82"/>
      <c r="S201" s="48">
        <v>143.460985915328</v>
      </c>
      <c r="T201" s="55">
        <v>0</v>
      </c>
      <c r="U201" s="55">
        <v>0</v>
      </c>
      <c r="V201" s="55">
        <f t="shared" si="26"/>
        <v>143.460985915328</v>
      </c>
      <c r="W201" s="55">
        <f t="shared" si="27"/>
        <v>0</v>
      </c>
      <c r="X201" s="82"/>
      <c r="Y201" s="50">
        <f t="shared" si="32"/>
        <v>0</v>
      </c>
      <c r="Z201" s="50">
        <f t="shared" si="33"/>
        <v>0</v>
      </c>
      <c r="AA201" s="50">
        <f t="shared" si="34"/>
        <v>0</v>
      </c>
      <c r="AB201" s="50">
        <f t="shared" si="28"/>
        <v>0</v>
      </c>
      <c r="AC201" s="80">
        <v>0.05</v>
      </c>
      <c r="AD201" s="82"/>
      <c r="AE201" s="82"/>
      <c r="AF201" s="82"/>
      <c r="AG201" s="97">
        <v>0.42</v>
      </c>
      <c r="AH201" s="55">
        <f t="shared" si="31"/>
        <v>0</v>
      </c>
      <c r="AI201" s="55"/>
      <c r="AJ201" s="55">
        <f t="shared" si="29"/>
        <v>0</v>
      </c>
      <c r="AK201" s="55">
        <v>0</v>
      </c>
      <c r="AL201" s="55"/>
      <c r="AM201" s="55">
        <f t="shared" si="30"/>
        <v>0</v>
      </c>
    </row>
    <row r="202" spans="1:39" hidden="1" x14ac:dyDescent="0.25">
      <c r="A202" s="81" t="s">
        <v>246</v>
      </c>
      <c r="B202" s="82" t="s">
        <v>71</v>
      </c>
      <c r="C202" s="82" t="s">
        <v>127</v>
      </c>
      <c r="D202" s="82" t="s">
        <v>153</v>
      </c>
      <c r="E202" s="82" t="s">
        <v>154</v>
      </c>
      <c r="F202" s="82" t="s">
        <v>155</v>
      </c>
      <c r="G202" s="82" t="s">
        <v>76</v>
      </c>
      <c r="H202" s="82" t="s">
        <v>77</v>
      </c>
      <c r="I202" s="45" t="s">
        <v>78</v>
      </c>
      <c r="J202" s="82" t="s">
        <v>78</v>
      </c>
      <c r="K202" s="76" t="s">
        <v>3</v>
      </c>
      <c r="L202" s="82" t="s">
        <v>125</v>
      </c>
      <c r="M202" s="82"/>
      <c r="N202" s="52" t="s">
        <v>126</v>
      </c>
      <c r="O202" s="52" t="s">
        <v>94</v>
      </c>
      <c r="P202" s="97">
        <v>0.18</v>
      </c>
      <c r="Q202" s="98"/>
      <c r="R202" s="82"/>
      <c r="S202" s="48">
        <v>114142.344929578</v>
      </c>
      <c r="T202" s="55">
        <v>0</v>
      </c>
      <c r="U202" s="55">
        <v>0</v>
      </c>
      <c r="V202" s="55">
        <f t="shared" si="26"/>
        <v>114142.344929578</v>
      </c>
      <c r="W202" s="55">
        <f t="shared" si="27"/>
        <v>0</v>
      </c>
      <c r="X202" s="82"/>
      <c r="Y202" s="50">
        <f t="shared" si="32"/>
        <v>0</v>
      </c>
      <c r="Z202" s="50">
        <f t="shared" si="33"/>
        <v>0</v>
      </c>
      <c r="AA202" s="50">
        <f t="shared" si="34"/>
        <v>0</v>
      </c>
      <c r="AB202" s="50">
        <f t="shared" si="28"/>
        <v>0</v>
      </c>
      <c r="AC202" s="80">
        <v>0.05</v>
      </c>
      <c r="AD202" s="82"/>
      <c r="AE202" s="82"/>
      <c r="AF202" s="82"/>
      <c r="AG202" s="97">
        <v>0.42</v>
      </c>
      <c r="AH202" s="55">
        <f t="shared" si="31"/>
        <v>0</v>
      </c>
      <c r="AI202" s="55"/>
      <c r="AJ202" s="55">
        <f t="shared" si="29"/>
        <v>0</v>
      </c>
      <c r="AK202" s="55">
        <v>0</v>
      </c>
      <c r="AL202" s="55"/>
      <c r="AM202" s="55">
        <f t="shared" si="30"/>
        <v>0</v>
      </c>
    </row>
    <row r="203" spans="1:39" hidden="1" x14ac:dyDescent="0.25">
      <c r="A203" s="81" t="s">
        <v>246</v>
      </c>
      <c r="B203" s="82" t="s">
        <v>71</v>
      </c>
      <c r="C203" s="82" t="s">
        <v>127</v>
      </c>
      <c r="D203" s="82" t="s">
        <v>153</v>
      </c>
      <c r="E203" s="82" t="s">
        <v>125</v>
      </c>
      <c r="F203" s="82" t="s">
        <v>156</v>
      </c>
      <c r="G203" s="82" t="s">
        <v>76</v>
      </c>
      <c r="H203" s="82" t="s">
        <v>77</v>
      </c>
      <c r="I203" s="45" t="s">
        <v>78</v>
      </c>
      <c r="J203" s="82" t="s">
        <v>78</v>
      </c>
      <c r="K203" s="76" t="s">
        <v>3</v>
      </c>
      <c r="L203" s="82" t="s">
        <v>125</v>
      </c>
      <c r="M203" s="82"/>
      <c r="N203" s="52" t="s">
        <v>126</v>
      </c>
      <c r="O203" s="52" t="s">
        <v>94</v>
      </c>
      <c r="P203" s="97">
        <v>0.08</v>
      </c>
      <c r="Q203" s="98"/>
      <c r="R203" s="82"/>
      <c r="S203" s="48">
        <v>29897.39</v>
      </c>
      <c r="T203" s="55">
        <v>0</v>
      </c>
      <c r="U203" s="55">
        <v>0</v>
      </c>
      <c r="V203" s="55">
        <f t="shared" si="26"/>
        <v>29897.39</v>
      </c>
      <c r="W203" s="55">
        <f t="shared" si="27"/>
        <v>0</v>
      </c>
      <c r="X203" s="82"/>
      <c r="Y203" s="50">
        <f t="shared" si="32"/>
        <v>0</v>
      </c>
      <c r="Z203" s="50">
        <f t="shared" si="33"/>
        <v>0</v>
      </c>
      <c r="AA203" s="50">
        <f t="shared" si="34"/>
        <v>0</v>
      </c>
      <c r="AB203" s="50">
        <f t="shared" si="28"/>
        <v>0</v>
      </c>
      <c r="AC203" s="80">
        <v>0.05</v>
      </c>
      <c r="AD203" s="82"/>
      <c r="AE203" s="82"/>
      <c r="AF203" s="82"/>
      <c r="AG203" s="97">
        <v>0.42</v>
      </c>
      <c r="AH203" s="55">
        <f t="shared" si="31"/>
        <v>0</v>
      </c>
      <c r="AI203" s="55"/>
      <c r="AJ203" s="55">
        <f t="shared" si="29"/>
        <v>0</v>
      </c>
      <c r="AK203" s="55">
        <v>0</v>
      </c>
      <c r="AL203" s="55"/>
      <c r="AM203" s="55">
        <f t="shared" si="30"/>
        <v>0</v>
      </c>
    </row>
    <row r="204" spans="1:39" hidden="1" x14ac:dyDescent="0.25">
      <c r="A204" s="81" t="s">
        <v>246</v>
      </c>
      <c r="B204" s="82" t="s">
        <v>71</v>
      </c>
      <c r="C204" s="82" t="s">
        <v>127</v>
      </c>
      <c r="D204" s="82" t="s">
        <v>153</v>
      </c>
      <c r="E204" s="82" t="s">
        <v>157</v>
      </c>
      <c r="F204" s="82" t="s">
        <v>158</v>
      </c>
      <c r="G204" s="82" t="s">
        <v>76</v>
      </c>
      <c r="H204" s="82" t="s">
        <v>77</v>
      </c>
      <c r="I204" s="45" t="s">
        <v>78</v>
      </c>
      <c r="J204" s="82" t="s">
        <v>78</v>
      </c>
      <c r="K204" s="76" t="s">
        <v>3</v>
      </c>
      <c r="L204" s="82" t="s">
        <v>125</v>
      </c>
      <c r="M204" s="82"/>
      <c r="N204" s="52" t="s">
        <v>126</v>
      </c>
      <c r="O204" s="52" t="s">
        <v>94</v>
      </c>
      <c r="P204" s="97">
        <v>0.08</v>
      </c>
      <c r="Q204" s="98"/>
      <c r="R204" s="82"/>
      <c r="S204" s="48">
        <v>20014.111126760599</v>
      </c>
      <c r="T204" s="55">
        <v>0</v>
      </c>
      <c r="U204" s="55">
        <v>0</v>
      </c>
      <c r="V204" s="55">
        <f t="shared" si="26"/>
        <v>20014.111126760599</v>
      </c>
      <c r="W204" s="55">
        <f t="shared" si="27"/>
        <v>0</v>
      </c>
      <c r="X204" s="82"/>
      <c r="Y204" s="50">
        <f t="shared" si="32"/>
        <v>0</v>
      </c>
      <c r="Z204" s="50">
        <f t="shared" si="33"/>
        <v>0</v>
      </c>
      <c r="AA204" s="50">
        <f t="shared" si="34"/>
        <v>0</v>
      </c>
      <c r="AB204" s="50">
        <f t="shared" si="28"/>
        <v>0</v>
      </c>
      <c r="AC204" s="80">
        <v>0.05</v>
      </c>
      <c r="AD204" s="82"/>
      <c r="AE204" s="82"/>
      <c r="AF204" s="82"/>
      <c r="AG204" s="97">
        <v>0.42</v>
      </c>
      <c r="AH204" s="55">
        <f t="shared" si="31"/>
        <v>0</v>
      </c>
      <c r="AI204" s="55"/>
      <c r="AJ204" s="55">
        <f t="shared" si="29"/>
        <v>0</v>
      </c>
      <c r="AK204" s="55">
        <v>0</v>
      </c>
      <c r="AL204" s="55"/>
      <c r="AM204" s="55">
        <f t="shared" si="30"/>
        <v>0</v>
      </c>
    </row>
    <row r="205" spans="1:39" hidden="1" x14ac:dyDescent="0.25">
      <c r="A205" s="81" t="s">
        <v>246</v>
      </c>
      <c r="B205" s="82" t="s">
        <v>71</v>
      </c>
      <c r="C205" s="82" t="s">
        <v>127</v>
      </c>
      <c r="D205" s="82" t="s">
        <v>153</v>
      </c>
      <c r="E205" s="82" t="s">
        <v>159</v>
      </c>
      <c r="F205" s="82" t="s">
        <v>160</v>
      </c>
      <c r="G205" s="82" t="s">
        <v>76</v>
      </c>
      <c r="H205" s="82" t="s">
        <v>77</v>
      </c>
      <c r="I205" s="45" t="s">
        <v>78</v>
      </c>
      <c r="J205" s="82" t="s">
        <v>78</v>
      </c>
      <c r="K205" s="76" t="s">
        <v>3</v>
      </c>
      <c r="L205" s="82" t="s">
        <v>125</v>
      </c>
      <c r="M205" s="82"/>
      <c r="N205" s="52" t="s">
        <v>126</v>
      </c>
      <c r="O205" s="52" t="s">
        <v>94</v>
      </c>
      <c r="P205" s="97">
        <v>0.04</v>
      </c>
      <c r="Q205" s="98"/>
      <c r="R205" s="82"/>
      <c r="S205" s="48">
        <v>322.47394365991897</v>
      </c>
      <c r="T205" s="55">
        <v>0</v>
      </c>
      <c r="U205" s="55">
        <v>0</v>
      </c>
      <c r="V205" s="55">
        <f t="shared" si="26"/>
        <v>322.47394365991897</v>
      </c>
      <c r="W205" s="55">
        <f t="shared" si="27"/>
        <v>0</v>
      </c>
      <c r="X205" s="82"/>
      <c r="Y205" s="50">
        <f t="shared" si="32"/>
        <v>0</v>
      </c>
      <c r="Z205" s="50">
        <f t="shared" si="33"/>
        <v>0</v>
      </c>
      <c r="AA205" s="50">
        <f t="shared" si="34"/>
        <v>0</v>
      </c>
      <c r="AB205" s="50">
        <f t="shared" si="28"/>
        <v>0</v>
      </c>
      <c r="AC205" s="80">
        <v>0.05</v>
      </c>
      <c r="AD205" s="82"/>
      <c r="AE205" s="82"/>
      <c r="AF205" s="82"/>
      <c r="AG205" s="97">
        <v>0.42</v>
      </c>
      <c r="AH205" s="55">
        <f t="shared" si="31"/>
        <v>0</v>
      </c>
      <c r="AI205" s="55"/>
      <c r="AJ205" s="55">
        <f t="shared" si="29"/>
        <v>0</v>
      </c>
      <c r="AK205" s="55">
        <v>0</v>
      </c>
      <c r="AL205" s="55"/>
      <c r="AM205" s="55">
        <f t="shared" si="30"/>
        <v>0</v>
      </c>
    </row>
    <row r="206" spans="1:39" hidden="1" x14ac:dyDescent="0.25">
      <c r="A206" s="81" t="s">
        <v>246</v>
      </c>
      <c r="B206" s="82" t="s">
        <v>71</v>
      </c>
      <c r="C206" s="82" t="s">
        <v>127</v>
      </c>
      <c r="D206" s="82" t="s">
        <v>153</v>
      </c>
      <c r="E206" s="82" t="s">
        <v>161</v>
      </c>
      <c r="F206" s="82" t="s">
        <v>162</v>
      </c>
      <c r="G206" s="82" t="s">
        <v>76</v>
      </c>
      <c r="H206" s="82" t="s">
        <v>77</v>
      </c>
      <c r="I206" s="45" t="s">
        <v>78</v>
      </c>
      <c r="J206" s="82" t="s">
        <v>78</v>
      </c>
      <c r="K206" s="76" t="s">
        <v>3</v>
      </c>
      <c r="L206" s="82" t="s">
        <v>125</v>
      </c>
      <c r="M206" s="82"/>
      <c r="N206" s="52" t="s">
        <v>126</v>
      </c>
      <c r="O206" s="52" t="s">
        <v>94</v>
      </c>
      <c r="P206" s="97">
        <v>0.23</v>
      </c>
      <c r="Q206" s="98"/>
      <c r="R206" s="82"/>
      <c r="S206" s="48">
        <v>196.54507042269699</v>
      </c>
      <c r="T206" s="55">
        <v>0</v>
      </c>
      <c r="U206" s="55">
        <v>0</v>
      </c>
      <c r="V206" s="55">
        <f t="shared" si="26"/>
        <v>196.54507042269699</v>
      </c>
      <c r="W206" s="55">
        <f t="shared" si="27"/>
        <v>0</v>
      </c>
      <c r="X206" s="82"/>
      <c r="Y206" s="50">
        <f t="shared" si="32"/>
        <v>0</v>
      </c>
      <c r="Z206" s="50">
        <f t="shared" si="33"/>
        <v>0</v>
      </c>
      <c r="AA206" s="50">
        <f t="shared" si="34"/>
        <v>0</v>
      </c>
      <c r="AB206" s="50">
        <f t="shared" si="28"/>
        <v>0</v>
      </c>
      <c r="AC206" s="80">
        <v>0.05</v>
      </c>
      <c r="AD206" s="82"/>
      <c r="AE206" s="82"/>
      <c r="AF206" s="82"/>
      <c r="AG206" s="97">
        <v>0.42</v>
      </c>
      <c r="AH206" s="55">
        <f t="shared" si="31"/>
        <v>0</v>
      </c>
      <c r="AI206" s="55"/>
      <c r="AJ206" s="55">
        <f t="shared" si="29"/>
        <v>0</v>
      </c>
      <c r="AK206" s="55">
        <v>0</v>
      </c>
      <c r="AL206" s="55"/>
      <c r="AM206" s="55">
        <f t="shared" si="30"/>
        <v>0</v>
      </c>
    </row>
    <row r="207" spans="1:39" hidden="1" x14ac:dyDescent="0.25">
      <c r="A207" s="81" t="s">
        <v>246</v>
      </c>
      <c r="B207" s="82" t="s">
        <v>71</v>
      </c>
      <c r="C207" s="82" t="s">
        <v>127</v>
      </c>
      <c r="D207" s="82" t="s">
        <v>153</v>
      </c>
      <c r="E207" s="82" t="s">
        <v>163</v>
      </c>
      <c r="F207" s="82" t="s">
        <v>164</v>
      </c>
      <c r="G207" s="82" t="s">
        <v>76</v>
      </c>
      <c r="H207" s="82" t="s">
        <v>77</v>
      </c>
      <c r="I207" s="45" t="s">
        <v>78</v>
      </c>
      <c r="J207" s="82" t="s">
        <v>78</v>
      </c>
      <c r="K207" s="76" t="s">
        <v>3</v>
      </c>
      <c r="L207" s="82" t="s">
        <v>125</v>
      </c>
      <c r="M207" s="82"/>
      <c r="N207" s="52" t="s">
        <v>126</v>
      </c>
      <c r="O207" s="52" t="s">
        <v>94</v>
      </c>
      <c r="P207" s="97">
        <v>0.03</v>
      </c>
      <c r="Q207" s="98"/>
      <c r="R207" s="82"/>
      <c r="S207" s="48">
        <v>1513.0032394366101</v>
      </c>
      <c r="T207" s="55">
        <v>0</v>
      </c>
      <c r="U207" s="55">
        <v>0</v>
      </c>
      <c r="V207" s="55">
        <f t="shared" si="26"/>
        <v>1513.0032394366101</v>
      </c>
      <c r="W207" s="55">
        <f t="shared" si="27"/>
        <v>0</v>
      </c>
      <c r="X207" s="82"/>
      <c r="Y207" s="50">
        <f t="shared" si="32"/>
        <v>0</v>
      </c>
      <c r="Z207" s="50">
        <f t="shared" si="33"/>
        <v>0</v>
      </c>
      <c r="AA207" s="50">
        <f t="shared" si="34"/>
        <v>0</v>
      </c>
      <c r="AB207" s="50">
        <f t="shared" si="28"/>
        <v>0</v>
      </c>
      <c r="AC207" s="80">
        <v>0.05</v>
      </c>
      <c r="AD207" s="82"/>
      <c r="AE207" s="82"/>
      <c r="AF207" s="82"/>
      <c r="AG207" s="97">
        <v>0.42</v>
      </c>
      <c r="AH207" s="55">
        <f t="shared" si="31"/>
        <v>0</v>
      </c>
      <c r="AI207" s="55"/>
      <c r="AJ207" s="55">
        <f t="shared" si="29"/>
        <v>0</v>
      </c>
      <c r="AK207" s="55">
        <v>0</v>
      </c>
      <c r="AL207" s="55"/>
      <c r="AM207" s="55">
        <f t="shared" si="30"/>
        <v>0</v>
      </c>
    </row>
    <row r="208" spans="1:39" hidden="1" x14ac:dyDescent="0.25">
      <c r="A208" s="81" t="s">
        <v>246</v>
      </c>
      <c r="B208" s="82" t="s">
        <v>71</v>
      </c>
      <c r="C208" s="82" t="s">
        <v>127</v>
      </c>
      <c r="D208" s="82" t="s">
        <v>153</v>
      </c>
      <c r="E208" s="82" t="s">
        <v>165</v>
      </c>
      <c r="F208" s="82" t="s">
        <v>166</v>
      </c>
      <c r="G208" s="82" t="s">
        <v>76</v>
      </c>
      <c r="H208" s="82" t="s">
        <v>77</v>
      </c>
      <c r="I208" s="45" t="s">
        <v>78</v>
      </c>
      <c r="J208" s="82" t="s">
        <v>78</v>
      </c>
      <c r="K208" s="76" t="s">
        <v>3</v>
      </c>
      <c r="L208" s="82" t="s">
        <v>125</v>
      </c>
      <c r="M208" s="82"/>
      <c r="N208" s="52" t="s">
        <v>126</v>
      </c>
      <c r="O208" s="52" t="s">
        <v>94</v>
      </c>
      <c r="P208" s="97">
        <v>0.03</v>
      </c>
      <c r="Q208" s="98"/>
      <c r="R208" s="82"/>
      <c r="S208" s="48">
        <v>6504.6216901406997</v>
      </c>
      <c r="T208" s="55">
        <v>0</v>
      </c>
      <c r="U208" s="55">
        <v>0</v>
      </c>
      <c r="V208" s="55">
        <f t="shared" si="26"/>
        <v>6504.6216901406997</v>
      </c>
      <c r="W208" s="55">
        <f t="shared" si="27"/>
        <v>0</v>
      </c>
      <c r="X208" s="82"/>
      <c r="Y208" s="50">
        <f t="shared" si="32"/>
        <v>0</v>
      </c>
      <c r="Z208" s="50">
        <f t="shared" si="33"/>
        <v>0</v>
      </c>
      <c r="AA208" s="50">
        <f t="shared" si="34"/>
        <v>0</v>
      </c>
      <c r="AB208" s="50">
        <f t="shared" si="28"/>
        <v>0</v>
      </c>
      <c r="AC208" s="80">
        <v>0.05</v>
      </c>
      <c r="AD208" s="82"/>
      <c r="AE208" s="82"/>
      <c r="AF208" s="82"/>
      <c r="AG208" s="97">
        <v>0</v>
      </c>
      <c r="AH208" s="55">
        <f t="shared" si="31"/>
        <v>0</v>
      </c>
      <c r="AI208" s="55"/>
      <c r="AJ208" s="55">
        <f t="shared" si="29"/>
        <v>0</v>
      </c>
      <c r="AK208" s="55">
        <v>0</v>
      </c>
      <c r="AL208" s="55"/>
      <c r="AM208" s="55">
        <f t="shared" si="30"/>
        <v>0</v>
      </c>
    </row>
    <row r="209" spans="1:40" hidden="1" x14ac:dyDescent="0.25">
      <c r="A209" s="81" t="s">
        <v>246</v>
      </c>
      <c r="B209" s="82" t="s">
        <v>71</v>
      </c>
      <c r="C209" s="82" t="s">
        <v>127</v>
      </c>
      <c r="D209" s="82" t="s">
        <v>153</v>
      </c>
      <c r="E209" s="82" t="s">
        <v>167</v>
      </c>
      <c r="F209" s="82" t="s">
        <v>168</v>
      </c>
      <c r="G209" s="82" t="s">
        <v>76</v>
      </c>
      <c r="H209" s="82" t="s">
        <v>77</v>
      </c>
      <c r="I209" s="45" t="s">
        <v>78</v>
      </c>
      <c r="J209" s="82" t="s">
        <v>78</v>
      </c>
      <c r="K209" s="76" t="s">
        <v>3</v>
      </c>
      <c r="L209" s="82" t="s">
        <v>125</v>
      </c>
      <c r="M209" s="82"/>
      <c r="N209" s="52" t="s">
        <v>126</v>
      </c>
      <c r="O209" s="52" t="s">
        <v>94</v>
      </c>
      <c r="P209" s="97">
        <v>0.18</v>
      </c>
      <c r="Q209" s="98"/>
      <c r="R209" s="82"/>
      <c r="S209" s="48">
        <v>44820.261970721403</v>
      </c>
      <c r="T209" s="55">
        <v>0</v>
      </c>
      <c r="U209" s="55">
        <v>0</v>
      </c>
      <c r="V209" s="55">
        <f t="shared" si="26"/>
        <v>44820.261970721403</v>
      </c>
      <c r="W209" s="55">
        <f t="shared" si="27"/>
        <v>0</v>
      </c>
      <c r="X209" s="82"/>
      <c r="Y209" s="50">
        <f t="shared" si="32"/>
        <v>0</v>
      </c>
      <c r="Z209" s="50">
        <f t="shared" si="33"/>
        <v>0</v>
      </c>
      <c r="AA209" s="50">
        <f t="shared" si="34"/>
        <v>0</v>
      </c>
      <c r="AB209" s="50">
        <f t="shared" si="28"/>
        <v>0</v>
      </c>
      <c r="AC209" s="80">
        <v>0.05</v>
      </c>
      <c r="AD209" s="82"/>
      <c r="AE209" s="82"/>
      <c r="AF209" s="82"/>
      <c r="AG209" s="97">
        <v>0.42</v>
      </c>
      <c r="AH209" s="55">
        <f t="shared" si="31"/>
        <v>0</v>
      </c>
      <c r="AI209" s="55"/>
      <c r="AJ209" s="55">
        <f t="shared" si="29"/>
        <v>0</v>
      </c>
      <c r="AK209" s="55">
        <v>0</v>
      </c>
      <c r="AL209" s="55"/>
      <c r="AM209" s="55">
        <f t="shared" si="30"/>
        <v>0</v>
      </c>
    </row>
    <row r="210" spans="1:40" hidden="1" x14ac:dyDescent="0.25">
      <c r="A210" s="81" t="s">
        <v>246</v>
      </c>
      <c r="B210" s="82" t="s">
        <v>71</v>
      </c>
      <c r="C210" s="82" t="s">
        <v>127</v>
      </c>
      <c r="D210" s="82" t="s">
        <v>153</v>
      </c>
      <c r="E210" s="82" t="s">
        <v>169</v>
      </c>
      <c r="F210" s="82" t="s">
        <v>170</v>
      </c>
      <c r="G210" s="82" t="s">
        <v>76</v>
      </c>
      <c r="H210" s="82" t="s">
        <v>77</v>
      </c>
      <c r="I210" s="45" t="s">
        <v>78</v>
      </c>
      <c r="J210" s="82" t="s">
        <v>78</v>
      </c>
      <c r="K210" s="76" t="s">
        <v>3</v>
      </c>
      <c r="L210" s="82" t="s">
        <v>125</v>
      </c>
      <c r="M210" s="82"/>
      <c r="N210" s="52" t="s">
        <v>126</v>
      </c>
      <c r="O210" s="52" t="s">
        <v>94</v>
      </c>
      <c r="P210" s="97">
        <v>0.23</v>
      </c>
      <c r="Q210" s="98"/>
      <c r="R210" s="82"/>
      <c r="S210" s="48">
        <v>132154.611549297</v>
      </c>
      <c r="T210" s="55">
        <v>0</v>
      </c>
      <c r="U210" s="55">
        <v>0</v>
      </c>
      <c r="V210" s="55">
        <f t="shared" si="26"/>
        <v>132154.611549297</v>
      </c>
      <c r="W210" s="55">
        <f t="shared" si="27"/>
        <v>0</v>
      </c>
      <c r="X210" s="82"/>
      <c r="Y210" s="50">
        <f t="shared" si="32"/>
        <v>0</v>
      </c>
      <c r="Z210" s="50">
        <f t="shared" si="33"/>
        <v>0</v>
      </c>
      <c r="AA210" s="50">
        <f t="shared" si="34"/>
        <v>0</v>
      </c>
      <c r="AB210" s="50">
        <f t="shared" si="28"/>
        <v>0</v>
      </c>
      <c r="AC210" s="80">
        <v>0.05</v>
      </c>
      <c r="AD210" s="82"/>
      <c r="AE210" s="82"/>
      <c r="AF210" s="82"/>
      <c r="AG210" s="97">
        <v>0.42</v>
      </c>
      <c r="AH210" s="55">
        <f t="shared" si="31"/>
        <v>0</v>
      </c>
      <c r="AI210" s="55"/>
      <c r="AJ210" s="55">
        <f t="shared" si="29"/>
        <v>0</v>
      </c>
      <c r="AK210" s="55">
        <v>0</v>
      </c>
      <c r="AL210" s="55"/>
      <c r="AM210" s="55">
        <f t="shared" si="30"/>
        <v>0</v>
      </c>
    </row>
    <row r="211" spans="1:40" hidden="1" x14ac:dyDescent="0.25">
      <c r="A211" s="81" t="s">
        <v>246</v>
      </c>
      <c r="B211" s="82" t="s">
        <v>71</v>
      </c>
      <c r="C211" s="82" t="s">
        <v>127</v>
      </c>
      <c r="D211" s="82" t="s">
        <v>153</v>
      </c>
      <c r="E211" s="82" t="s">
        <v>171</v>
      </c>
      <c r="F211" s="82" t="s">
        <v>172</v>
      </c>
      <c r="G211" s="82" t="s">
        <v>76</v>
      </c>
      <c r="H211" s="82" t="s">
        <v>77</v>
      </c>
      <c r="I211" s="45" t="s">
        <v>78</v>
      </c>
      <c r="J211" s="82" t="s">
        <v>78</v>
      </c>
      <c r="K211" s="76" t="s">
        <v>3</v>
      </c>
      <c r="L211" s="82" t="s">
        <v>125</v>
      </c>
      <c r="M211" s="82"/>
      <c r="N211" s="52" t="s">
        <v>126</v>
      </c>
      <c r="O211" s="52" t="s">
        <v>94</v>
      </c>
      <c r="P211" s="97">
        <v>0.03</v>
      </c>
      <c r="Q211" s="98"/>
      <c r="R211" s="82"/>
      <c r="S211" s="48">
        <v>14157.309295774699</v>
      </c>
      <c r="T211" s="55">
        <v>0</v>
      </c>
      <c r="U211" s="55">
        <v>0</v>
      </c>
      <c r="V211" s="55">
        <f t="shared" si="26"/>
        <v>14157.309295774699</v>
      </c>
      <c r="W211" s="55">
        <f t="shared" si="27"/>
        <v>0</v>
      </c>
      <c r="X211" s="82"/>
      <c r="Y211" s="50">
        <f t="shared" si="32"/>
        <v>0</v>
      </c>
      <c r="Z211" s="50">
        <f t="shared" si="33"/>
        <v>0</v>
      </c>
      <c r="AA211" s="50">
        <f t="shared" si="34"/>
        <v>0</v>
      </c>
      <c r="AB211" s="50">
        <f t="shared" si="28"/>
        <v>0</v>
      </c>
      <c r="AC211" s="80">
        <v>0.05</v>
      </c>
      <c r="AD211" s="82"/>
      <c r="AE211" s="82"/>
      <c r="AF211" s="82"/>
      <c r="AG211" s="97">
        <v>0.42</v>
      </c>
      <c r="AH211" s="55">
        <f t="shared" si="31"/>
        <v>0</v>
      </c>
      <c r="AI211" s="55"/>
      <c r="AJ211" s="55">
        <f t="shared" si="29"/>
        <v>0</v>
      </c>
      <c r="AK211" s="55">
        <v>0</v>
      </c>
      <c r="AL211" s="55"/>
      <c r="AM211" s="55">
        <f t="shared" si="30"/>
        <v>0</v>
      </c>
    </row>
    <row r="212" spans="1:40" hidden="1" x14ac:dyDescent="0.25">
      <c r="A212" s="81" t="s">
        <v>246</v>
      </c>
      <c r="B212" s="82" t="s">
        <v>71</v>
      </c>
      <c r="C212" s="82" t="s">
        <v>127</v>
      </c>
      <c r="D212" s="82" t="s">
        <v>153</v>
      </c>
      <c r="E212" s="82" t="s">
        <v>173</v>
      </c>
      <c r="F212" s="82" t="s">
        <v>174</v>
      </c>
      <c r="G212" s="82" t="s">
        <v>76</v>
      </c>
      <c r="H212" s="82" t="s">
        <v>77</v>
      </c>
      <c r="I212" s="45" t="s">
        <v>78</v>
      </c>
      <c r="J212" s="82" t="s">
        <v>78</v>
      </c>
      <c r="K212" s="76" t="s">
        <v>3</v>
      </c>
      <c r="L212" s="82" t="s">
        <v>125</v>
      </c>
      <c r="M212" s="82"/>
      <c r="N212" s="52" t="s">
        <v>126</v>
      </c>
      <c r="O212" s="52" t="s">
        <v>94</v>
      </c>
      <c r="P212" s="97">
        <v>0.03</v>
      </c>
      <c r="Q212" s="98"/>
      <c r="R212" s="82"/>
      <c r="S212" s="48">
        <v>480.55873239384499</v>
      </c>
      <c r="T212" s="55">
        <v>0</v>
      </c>
      <c r="U212" s="55">
        <v>0</v>
      </c>
      <c r="V212" s="55">
        <f t="shared" si="26"/>
        <v>480.55873239384499</v>
      </c>
      <c r="W212" s="55">
        <f t="shared" si="27"/>
        <v>0</v>
      </c>
      <c r="X212" s="82"/>
      <c r="Y212" s="50">
        <f t="shared" si="32"/>
        <v>0</v>
      </c>
      <c r="Z212" s="50">
        <f t="shared" si="33"/>
        <v>0</v>
      </c>
      <c r="AA212" s="50">
        <f t="shared" si="34"/>
        <v>0</v>
      </c>
      <c r="AB212" s="50">
        <f t="shared" si="28"/>
        <v>0</v>
      </c>
      <c r="AC212" s="80">
        <v>0.05</v>
      </c>
      <c r="AD212" s="82"/>
      <c r="AE212" s="82"/>
      <c r="AF212" s="82"/>
      <c r="AG212" s="97" t="s">
        <v>137</v>
      </c>
      <c r="AH212" s="55">
        <f t="shared" si="31"/>
        <v>0</v>
      </c>
      <c r="AI212" s="55"/>
      <c r="AJ212" s="55">
        <f t="shared" si="29"/>
        <v>0</v>
      </c>
      <c r="AK212" s="55">
        <v>0</v>
      </c>
      <c r="AL212" s="55"/>
      <c r="AM212" s="55">
        <f t="shared" si="30"/>
        <v>0</v>
      </c>
    </row>
    <row r="213" spans="1:40" hidden="1" x14ac:dyDescent="0.25">
      <c r="A213" s="81" t="s">
        <v>246</v>
      </c>
      <c r="B213" s="82" t="s">
        <v>71</v>
      </c>
      <c r="C213" s="82" t="s">
        <v>127</v>
      </c>
      <c r="D213" s="82" t="s">
        <v>153</v>
      </c>
      <c r="E213" s="82" t="s">
        <v>175</v>
      </c>
      <c r="F213" s="82" t="s">
        <v>176</v>
      </c>
      <c r="G213" s="82" t="s">
        <v>76</v>
      </c>
      <c r="H213" s="82" t="s">
        <v>77</v>
      </c>
      <c r="I213" s="45" t="s">
        <v>78</v>
      </c>
      <c r="J213" s="82" t="s">
        <v>78</v>
      </c>
      <c r="K213" s="76" t="s">
        <v>3</v>
      </c>
      <c r="L213" s="82" t="s">
        <v>125</v>
      </c>
      <c r="M213" s="82"/>
      <c r="N213" s="52" t="s">
        <v>126</v>
      </c>
      <c r="O213" s="52" t="s">
        <v>94</v>
      </c>
      <c r="P213" s="97">
        <v>0.23</v>
      </c>
      <c r="Q213" s="98"/>
      <c r="R213" s="82"/>
      <c r="S213" s="48">
        <v>88.72</v>
      </c>
      <c r="T213" s="55">
        <v>0</v>
      </c>
      <c r="U213" s="55">
        <v>0</v>
      </c>
      <c r="V213" s="55">
        <f t="shared" si="26"/>
        <v>88.72</v>
      </c>
      <c r="W213" s="55">
        <f t="shared" si="27"/>
        <v>0</v>
      </c>
      <c r="X213" s="82"/>
      <c r="Y213" s="50">
        <f t="shared" si="32"/>
        <v>0</v>
      </c>
      <c r="Z213" s="50">
        <f t="shared" si="33"/>
        <v>0</v>
      </c>
      <c r="AA213" s="50">
        <f t="shared" si="34"/>
        <v>0</v>
      </c>
      <c r="AB213" s="50">
        <f t="shared" si="28"/>
        <v>0</v>
      </c>
      <c r="AC213" s="80">
        <v>0.05</v>
      </c>
      <c r="AD213" s="82"/>
      <c r="AE213" s="82"/>
      <c r="AF213" s="82"/>
      <c r="AG213" s="97">
        <v>0.42</v>
      </c>
      <c r="AH213" s="55">
        <f t="shared" si="31"/>
        <v>0</v>
      </c>
      <c r="AI213" s="55"/>
      <c r="AJ213" s="55">
        <f t="shared" ref="AJ213:AJ231" si="35">T213*AG213</f>
        <v>0</v>
      </c>
      <c r="AK213" s="55">
        <v>0</v>
      </c>
      <c r="AL213" s="55"/>
      <c r="AM213" s="55">
        <f t="shared" si="30"/>
        <v>0</v>
      </c>
    </row>
    <row r="214" spans="1:40" hidden="1" x14ac:dyDescent="0.25">
      <c r="A214" s="81" t="s">
        <v>246</v>
      </c>
      <c r="B214" s="82" t="s">
        <v>71</v>
      </c>
      <c r="C214" s="82" t="s">
        <v>127</v>
      </c>
      <c r="D214" s="82" t="s">
        <v>153</v>
      </c>
      <c r="E214" s="82" t="s">
        <v>177</v>
      </c>
      <c r="F214" s="82" t="s">
        <v>178</v>
      </c>
      <c r="G214" s="82" t="s">
        <v>76</v>
      </c>
      <c r="H214" s="82" t="s">
        <v>77</v>
      </c>
      <c r="I214" s="45" t="s">
        <v>78</v>
      </c>
      <c r="J214" s="82" t="s">
        <v>78</v>
      </c>
      <c r="K214" s="76" t="s">
        <v>3</v>
      </c>
      <c r="L214" s="82" t="s">
        <v>125</v>
      </c>
      <c r="M214" s="82"/>
      <c r="N214" s="52" t="s">
        <v>126</v>
      </c>
      <c r="O214" s="52" t="s">
        <v>94</v>
      </c>
      <c r="P214" s="97">
        <v>0.18</v>
      </c>
      <c r="Q214" s="98"/>
      <c r="R214" s="82"/>
      <c r="S214" s="48">
        <v>147.29985915508601</v>
      </c>
      <c r="T214" s="55">
        <v>0</v>
      </c>
      <c r="U214" s="55">
        <v>0</v>
      </c>
      <c r="V214" s="55">
        <f t="shared" si="26"/>
        <v>147.29985915508601</v>
      </c>
      <c r="W214" s="55">
        <f t="shared" si="27"/>
        <v>0</v>
      </c>
      <c r="X214" s="82"/>
      <c r="Y214" s="50">
        <f t="shared" si="32"/>
        <v>0</v>
      </c>
      <c r="Z214" s="50">
        <f t="shared" si="33"/>
        <v>0</v>
      </c>
      <c r="AA214" s="50">
        <f t="shared" si="34"/>
        <v>0</v>
      </c>
      <c r="AB214" s="50">
        <f t="shared" si="28"/>
        <v>0</v>
      </c>
      <c r="AC214" s="80">
        <v>0.05</v>
      </c>
      <c r="AD214" s="82"/>
      <c r="AE214" s="82"/>
      <c r="AF214" s="82"/>
      <c r="AG214" s="97">
        <v>0.42</v>
      </c>
      <c r="AH214" s="55">
        <f t="shared" si="31"/>
        <v>0</v>
      </c>
      <c r="AI214" s="55"/>
      <c r="AJ214" s="55">
        <f t="shared" si="35"/>
        <v>0</v>
      </c>
      <c r="AK214" s="55">
        <v>0</v>
      </c>
      <c r="AL214" s="55"/>
      <c r="AM214" s="55">
        <f t="shared" si="30"/>
        <v>0</v>
      </c>
    </row>
    <row r="215" spans="1:40" hidden="1" x14ac:dyDescent="0.25">
      <c r="A215" s="81" t="s">
        <v>246</v>
      </c>
      <c r="B215" s="82" t="s">
        <v>71</v>
      </c>
      <c r="C215" s="82" t="s">
        <v>127</v>
      </c>
      <c r="D215" s="82" t="s">
        <v>153</v>
      </c>
      <c r="E215" s="82" t="s">
        <v>179</v>
      </c>
      <c r="F215" s="82" t="s">
        <v>180</v>
      </c>
      <c r="G215" s="82" t="s">
        <v>76</v>
      </c>
      <c r="H215" s="82" t="s">
        <v>77</v>
      </c>
      <c r="I215" s="45" t="s">
        <v>78</v>
      </c>
      <c r="J215" s="82" t="s">
        <v>78</v>
      </c>
      <c r="K215" s="76" t="s">
        <v>3</v>
      </c>
      <c r="L215" s="82" t="s">
        <v>125</v>
      </c>
      <c r="M215" s="82"/>
      <c r="N215" s="52" t="s">
        <v>126</v>
      </c>
      <c r="O215" s="52" t="s">
        <v>94</v>
      </c>
      <c r="P215" s="97">
        <v>0.18</v>
      </c>
      <c r="Q215" s="98"/>
      <c r="R215" s="82"/>
      <c r="S215" s="48">
        <v>4215.2245070423196</v>
      </c>
      <c r="T215" s="55">
        <v>0</v>
      </c>
      <c r="U215" s="55">
        <v>0</v>
      </c>
      <c r="V215" s="55">
        <f t="shared" si="26"/>
        <v>4215.2245070423196</v>
      </c>
      <c r="W215" s="55">
        <f t="shared" si="27"/>
        <v>0</v>
      </c>
      <c r="X215" s="82"/>
      <c r="Y215" s="50">
        <f t="shared" si="32"/>
        <v>0</v>
      </c>
      <c r="Z215" s="50">
        <f t="shared" si="33"/>
        <v>0</v>
      </c>
      <c r="AA215" s="50">
        <f t="shared" si="34"/>
        <v>0</v>
      </c>
      <c r="AB215" s="50">
        <f t="shared" si="28"/>
        <v>0</v>
      </c>
      <c r="AC215" s="80">
        <v>0.05</v>
      </c>
      <c r="AD215" s="82"/>
      <c r="AE215" s="82"/>
      <c r="AF215" s="82"/>
      <c r="AG215" s="97">
        <v>0.42</v>
      </c>
      <c r="AH215" s="55">
        <f t="shared" si="31"/>
        <v>0</v>
      </c>
      <c r="AI215" s="55"/>
      <c r="AJ215" s="55">
        <f t="shared" si="35"/>
        <v>0</v>
      </c>
      <c r="AK215" s="55">
        <v>0</v>
      </c>
      <c r="AL215" s="55"/>
      <c r="AM215" s="55">
        <f t="shared" si="30"/>
        <v>0</v>
      </c>
    </row>
    <row r="216" spans="1:40" hidden="1" x14ac:dyDescent="0.25">
      <c r="A216" s="81" t="s">
        <v>246</v>
      </c>
      <c r="B216" s="82" t="s">
        <v>71</v>
      </c>
      <c r="C216" s="82" t="s">
        <v>127</v>
      </c>
      <c r="D216" s="82" t="s">
        <v>153</v>
      </c>
      <c r="E216" s="82" t="s">
        <v>181</v>
      </c>
      <c r="F216" s="82" t="s">
        <v>182</v>
      </c>
      <c r="G216" s="82" t="s">
        <v>76</v>
      </c>
      <c r="H216" s="82" t="s">
        <v>77</v>
      </c>
      <c r="I216" s="45" t="s">
        <v>78</v>
      </c>
      <c r="J216" s="82" t="s">
        <v>78</v>
      </c>
      <c r="K216" s="76" t="s">
        <v>3</v>
      </c>
      <c r="L216" s="82" t="s">
        <v>125</v>
      </c>
      <c r="M216" s="82"/>
      <c r="N216" s="52" t="s">
        <v>126</v>
      </c>
      <c r="O216" s="52" t="s">
        <v>94</v>
      </c>
      <c r="P216" s="97">
        <v>0.23</v>
      </c>
      <c r="Q216" s="98"/>
      <c r="R216" s="82"/>
      <c r="S216" s="48">
        <v>127.3395774647</v>
      </c>
      <c r="T216" s="55">
        <v>0</v>
      </c>
      <c r="U216" s="55">
        <v>0</v>
      </c>
      <c r="V216" s="55">
        <f t="shared" si="26"/>
        <v>127.3395774647</v>
      </c>
      <c r="W216" s="55">
        <f t="shared" si="27"/>
        <v>0</v>
      </c>
      <c r="X216" s="82"/>
      <c r="Y216" s="50">
        <f t="shared" si="32"/>
        <v>0</v>
      </c>
      <c r="Z216" s="50">
        <f t="shared" si="33"/>
        <v>0</v>
      </c>
      <c r="AA216" s="50">
        <f t="shared" si="34"/>
        <v>0</v>
      </c>
      <c r="AB216" s="50">
        <f t="shared" si="28"/>
        <v>0</v>
      </c>
      <c r="AC216" s="80">
        <v>0.05</v>
      </c>
      <c r="AD216" s="82"/>
      <c r="AE216" s="82"/>
      <c r="AF216" s="82"/>
      <c r="AG216" s="97">
        <v>0.42</v>
      </c>
      <c r="AH216" s="55">
        <f t="shared" si="31"/>
        <v>0</v>
      </c>
      <c r="AI216" s="55"/>
      <c r="AJ216" s="55">
        <f t="shared" si="35"/>
        <v>0</v>
      </c>
      <c r="AK216" s="55">
        <v>0</v>
      </c>
      <c r="AL216" s="55"/>
      <c r="AM216" s="55">
        <f t="shared" si="30"/>
        <v>0</v>
      </c>
    </row>
    <row r="217" spans="1:40" hidden="1" x14ac:dyDescent="0.25">
      <c r="A217" s="81" t="s">
        <v>246</v>
      </c>
      <c r="B217" s="82" t="s">
        <v>71</v>
      </c>
      <c r="C217" s="82" t="s">
        <v>127</v>
      </c>
      <c r="D217" s="82" t="s">
        <v>153</v>
      </c>
      <c r="E217" s="82" t="s">
        <v>183</v>
      </c>
      <c r="F217" s="82" t="s">
        <v>184</v>
      </c>
      <c r="G217" s="82" t="s">
        <v>76</v>
      </c>
      <c r="H217" s="82" t="s">
        <v>77</v>
      </c>
      <c r="I217" s="45" t="s">
        <v>78</v>
      </c>
      <c r="J217" s="82" t="s">
        <v>78</v>
      </c>
      <c r="K217" s="76" t="s">
        <v>3</v>
      </c>
      <c r="L217" s="82" t="s">
        <v>125</v>
      </c>
      <c r="M217" s="82"/>
      <c r="N217" s="52" t="s">
        <v>126</v>
      </c>
      <c r="O217" s="52" t="s">
        <v>94</v>
      </c>
      <c r="P217" s="97">
        <v>0.23</v>
      </c>
      <c r="Q217" s="98"/>
      <c r="R217" s="82"/>
      <c r="S217" s="48">
        <v>172.66352112698999</v>
      </c>
      <c r="T217" s="55">
        <v>0</v>
      </c>
      <c r="U217" s="55">
        <v>0</v>
      </c>
      <c r="V217" s="55">
        <f t="shared" si="26"/>
        <v>172.66352112698999</v>
      </c>
      <c r="W217" s="55">
        <f t="shared" si="27"/>
        <v>0</v>
      </c>
      <c r="X217" s="82"/>
      <c r="Y217" s="50">
        <f t="shared" si="32"/>
        <v>0</v>
      </c>
      <c r="Z217" s="50">
        <f t="shared" si="33"/>
        <v>0</v>
      </c>
      <c r="AA217" s="50">
        <f t="shared" si="34"/>
        <v>0</v>
      </c>
      <c r="AB217" s="50">
        <f t="shared" si="28"/>
        <v>0</v>
      </c>
      <c r="AC217" s="80">
        <v>0.05</v>
      </c>
      <c r="AD217" s="82"/>
      <c r="AE217" s="82"/>
      <c r="AF217" s="82"/>
      <c r="AG217" s="97">
        <v>0.42</v>
      </c>
      <c r="AH217" s="55">
        <f t="shared" si="31"/>
        <v>0</v>
      </c>
      <c r="AI217" s="55"/>
      <c r="AJ217" s="55">
        <f t="shared" si="35"/>
        <v>0</v>
      </c>
      <c r="AK217" s="55">
        <v>0</v>
      </c>
      <c r="AL217" s="55"/>
      <c r="AM217" s="55">
        <f t="shared" si="30"/>
        <v>0</v>
      </c>
    </row>
    <row r="218" spans="1:40" hidden="1" x14ac:dyDescent="0.25">
      <c r="A218" s="81" t="s">
        <v>246</v>
      </c>
      <c r="B218" s="82" t="s">
        <v>71</v>
      </c>
      <c r="C218" s="82" t="s">
        <v>127</v>
      </c>
      <c r="D218" s="82" t="s">
        <v>153</v>
      </c>
      <c r="E218" s="82" t="s">
        <v>185</v>
      </c>
      <c r="F218" s="82" t="s">
        <v>186</v>
      </c>
      <c r="G218" s="82" t="s">
        <v>76</v>
      </c>
      <c r="H218" s="82" t="s">
        <v>77</v>
      </c>
      <c r="I218" s="45" t="s">
        <v>78</v>
      </c>
      <c r="J218" s="82" t="s">
        <v>78</v>
      </c>
      <c r="K218" s="76" t="s">
        <v>3</v>
      </c>
      <c r="L218" s="82" t="s">
        <v>125</v>
      </c>
      <c r="M218" s="82"/>
      <c r="N218" s="52" t="s">
        <v>126</v>
      </c>
      <c r="O218" s="52" t="s">
        <v>94</v>
      </c>
      <c r="P218" s="97">
        <v>0.08</v>
      </c>
      <c r="Q218" s="98"/>
      <c r="R218" s="82"/>
      <c r="S218" s="48">
        <v>11055.15</v>
      </c>
      <c r="T218" s="55">
        <v>0</v>
      </c>
      <c r="U218" s="55">
        <v>0</v>
      </c>
      <c r="V218" s="55">
        <f t="shared" si="26"/>
        <v>11055.15</v>
      </c>
      <c r="W218" s="55">
        <f t="shared" si="27"/>
        <v>0</v>
      </c>
      <c r="X218" s="82"/>
      <c r="Y218" s="50">
        <f t="shared" si="32"/>
        <v>0</v>
      </c>
      <c r="Z218" s="50">
        <f t="shared" si="33"/>
        <v>0</v>
      </c>
      <c r="AA218" s="50">
        <f t="shared" si="34"/>
        <v>0</v>
      </c>
      <c r="AB218" s="50">
        <f t="shared" si="28"/>
        <v>0</v>
      </c>
      <c r="AC218" s="80">
        <v>0.05</v>
      </c>
      <c r="AD218" s="82"/>
      <c r="AE218" s="82"/>
      <c r="AF218" s="82"/>
      <c r="AG218" s="97">
        <v>0.42</v>
      </c>
      <c r="AH218" s="55">
        <f t="shared" si="31"/>
        <v>0</v>
      </c>
      <c r="AI218" s="55"/>
      <c r="AJ218" s="55">
        <f t="shared" si="35"/>
        <v>0</v>
      </c>
      <c r="AK218" s="55">
        <v>0</v>
      </c>
      <c r="AL218" s="55"/>
      <c r="AM218" s="55">
        <f t="shared" si="30"/>
        <v>0</v>
      </c>
    </row>
    <row r="219" spans="1:40" hidden="1" x14ac:dyDescent="0.25">
      <c r="A219" s="81" t="s">
        <v>246</v>
      </c>
      <c r="B219" s="82" t="s">
        <v>3</v>
      </c>
      <c r="C219" s="82" t="s">
        <v>100</v>
      </c>
      <c r="D219" s="82" t="s">
        <v>101</v>
      </c>
      <c r="E219" s="82" t="s">
        <v>121</v>
      </c>
      <c r="F219" s="82" t="s">
        <v>121</v>
      </c>
      <c r="G219" s="82" t="s">
        <v>121</v>
      </c>
      <c r="H219" s="82" t="s">
        <v>77</v>
      </c>
      <c r="I219" s="45" t="s">
        <v>78</v>
      </c>
      <c r="J219" s="82" t="s">
        <v>78</v>
      </c>
      <c r="K219" s="76" t="s">
        <v>3</v>
      </c>
      <c r="L219" s="82" t="s">
        <v>121</v>
      </c>
      <c r="M219" s="82"/>
      <c r="N219" s="52" t="s">
        <v>86</v>
      </c>
      <c r="O219" s="52" t="s">
        <v>94</v>
      </c>
      <c r="P219" s="97">
        <v>5.5E-2</v>
      </c>
      <c r="Q219" s="98"/>
      <c r="R219" s="82"/>
      <c r="S219" s="48">
        <v>173646.82</v>
      </c>
      <c r="T219" s="55">
        <v>0</v>
      </c>
      <c r="U219" s="55">
        <v>13859.41</v>
      </c>
      <c r="V219" s="55">
        <f t="shared" si="26"/>
        <v>159787.41</v>
      </c>
      <c r="W219" s="55">
        <f t="shared" si="27"/>
        <v>13221.529205020923</v>
      </c>
      <c r="X219" s="82"/>
      <c r="Y219" s="50">
        <f t="shared" si="32"/>
        <v>0</v>
      </c>
      <c r="Z219" s="50">
        <f t="shared" si="33"/>
        <v>13221.598326359834</v>
      </c>
      <c r="AA219" s="50">
        <f t="shared" si="34"/>
        <v>637.88079497907711</v>
      </c>
      <c r="AB219" s="50">
        <f t="shared" si="28"/>
        <v>13859.41</v>
      </c>
      <c r="AC219" s="80">
        <v>0.05</v>
      </c>
      <c r="AD219" s="82"/>
      <c r="AE219" s="82"/>
      <c r="AF219" s="82"/>
      <c r="AG219" s="97">
        <v>0.14000000000000001</v>
      </c>
      <c r="AH219" s="55">
        <f t="shared" si="31"/>
        <v>13859.482456140349</v>
      </c>
      <c r="AI219" s="55">
        <v>37259.449999999997</v>
      </c>
      <c r="AJ219" s="55">
        <f t="shared" si="35"/>
        <v>0</v>
      </c>
      <c r="AK219" s="55">
        <v>15799.81</v>
      </c>
      <c r="AL219" s="55"/>
      <c r="AM219" s="55">
        <f t="shared" si="30"/>
        <v>13221.598326359834</v>
      </c>
      <c r="AN219" s="99">
        <f>AM219-W219</f>
        <v>6.9121338910917984E-2</v>
      </c>
    </row>
    <row r="220" spans="1:40" hidden="1" x14ac:dyDescent="0.25">
      <c r="A220" s="81" t="s">
        <v>246</v>
      </c>
      <c r="B220" s="82" t="s">
        <v>3</v>
      </c>
      <c r="C220" s="82" t="s">
        <v>90</v>
      </c>
      <c r="D220" s="82" t="s">
        <v>114</v>
      </c>
      <c r="E220" s="82" t="s">
        <v>115</v>
      </c>
      <c r="F220" s="82" t="s">
        <v>115</v>
      </c>
      <c r="G220" s="82" t="s">
        <v>115</v>
      </c>
      <c r="H220" s="82" t="s">
        <v>77</v>
      </c>
      <c r="I220" s="45" t="s">
        <v>78</v>
      </c>
      <c r="J220" s="82" t="s">
        <v>78</v>
      </c>
      <c r="K220" s="76" t="s">
        <v>3</v>
      </c>
      <c r="L220" s="82" t="s">
        <v>116</v>
      </c>
      <c r="M220" s="82"/>
      <c r="N220" s="52" t="s">
        <v>86</v>
      </c>
      <c r="O220" s="52" t="s">
        <v>94</v>
      </c>
      <c r="P220" s="46">
        <v>-0.15</v>
      </c>
      <c r="Q220" s="98"/>
      <c r="R220" s="82"/>
      <c r="S220" s="48">
        <v>205.52</v>
      </c>
      <c r="T220" s="55">
        <v>0</v>
      </c>
      <c r="U220" s="55">
        <v>0</v>
      </c>
      <c r="V220" s="55">
        <f t="shared" si="26"/>
        <v>205.52</v>
      </c>
      <c r="W220" s="55">
        <f t="shared" si="27"/>
        <v>0</v>
      </c>
      <c r="X220" s="82"/>
      <c r="Y220" s="50">
        <f t="shared" si="32"/>
        <v>0</v>
      </c>
      <c r="Z220" s="50">
        <f t="shared" si="33"/>
        <v>0</v>
      </c>
      <c r="AA220" s="50">
        <f t="shared" si="34"/>
        <v>0</v>
      </c>
      <c r="AB220" s="50">
        <f t="shared" si="28"/>
        <v>0</v>
      </c>
      <c r="AC220" s="80">
        <v>0.05</v>
      </c>
      <c r="AD220" s="82"/>
      <c r="AE220" s="82"/>
      <c r="AF220" s="82"/>
      <c r="AG220" s="46">
        <v>0.26</v>
      </c>
      <c r="AH220" s="55">
        <f t="shared" si="31"/>
        <v>0</v>
      </c>
      <c r="AI220" s="55"/>
      <c r="AJ220" s="55">
        <f t="shared" si="35"/>
        <v>0</v>
      </c>
      <c r="AK220" s="55">
        <v>0</v>
      </c>
      <c r="AL220" s="55"/>
      <c r="AM220" s="55">
        <f t="shared" si="30"/>
        <v>0</v>
      </c>
    </row>
    <row r="221" spans="1:40" hidden="1" x14ac:dyDescent="0.25">
      <c r="A221" s="81" t="s">
        <v>246</v>
      </c>
      <c r="B221" s="82" t="s">
        <v>3</v>
      </c>
      <c r="C221" s="82" t="s">
        <v>72</v>
      </c>
      <c r="D221" s="82" t="s">
        <v>187</v>
      </c>
      <c r="E221" s="82" t="s">
        <v>188</v>
      </c>
      <c r="F221" s="82" t="s">
        <v>188</v>
      </c>
      <c r="G221" s="82" t="s">
        <v>188</v>
      </c>
      <c r="H221" s="82" t="s">
        <v>77</v>
      </c>
      <c r="I221" s="45" t="s">
        <v>78</v>
      </c>
      <c r="J221" s="82" t="s">
        <v>78</v>
      </c>
      <c r="K221" s="76" t="s">
        <v>3</v>
      </c>
      <c r="L221" s="82" t="s">
        <v>188</v>
      </c>
      <c r="M221" s="82"/>
      <c r="N221" s="52" t="s">
        <v>126</v>
      </c>
      <c r="O221" s="52" t="s">
        <v>94</v>
      </c>
      <c r="P221" s="97">
        <v>0.05</v>
      </c>
      <c r="Q221" s="98"/>
      <c r="R221" s="82"/>
      <c r="S221" s="48">
        <v>15503.97</v>
      </c>
      <c r="T221" s="55">
        <v>0</v>
      </c>
      <c r="U221" s="55">
        <v>0</v>
      </c>
      <c r="V221" s="55">
        <f t="shared" si="26"/>
        <v>15503.97</v>
      </c>
      <c r="W221" s="55">
        <f t="shared" si="27"/>
        <v>0</v>
      </c>
      <c r="X221" s="82"/>
      <c r="Y221" s="50">
        <f t="shared" si="32"/>
        <v>0</v>
      </c>
      <c r="Z221" s="50">
        <f t="shared" si="33"/>
        <v>0</v>
      </c>
      <c r="AA221" s="50">
        <f t="shared" si="34"/>
        <v>0</v>
      </c>
      <c r="AB221" s="50">
        <f t="shared" si="28"/>
        <v>0</v>
      </c>
      <c r="AC221" s="80">
        <v>0.05</v>
      </c>
      <c r="AD221" s="82"/>
      <c r="AE221" s="82"/>
      <c r="AF221" s="82"/>
      <c r="AG221" s="97">
        <v>0.36</v>
      </c>
      <c r="AH221" s="55">
        <f t="shared" si="31"/>
        <v>0</v>
      </c>
      <c r="AI221" s="55"/>
      <c r="AJ221" s="55">
        <f t="shared" si="35"/>
        <v>0</v>
      </c>
      <c r="AK221" s="55">
        <v>0</v>
      </c>
      <c r="AL221" s="55"/>
      <c r="AM221" s="55">
        <f t="shared" si="30"/>
        <v>0</v>
      </c>
    </row>
    <row r="222" spans="1:40" hidden="1" x14ac:dyDescent="0.25">
      <c r="A222" s="81" t="s">
        <v>246</v>
      </c>
      <c r="B222" s="82" t="s">
        <v>3</v>
      </c>
      <c r="C222" s="82" t="s">
        <v>82</v>
      </c>
      <c r="D222" s="82" t="s">
        <v>83</v>
      </c>
      <c r="E222" s="82" t="s">
        <v>84</v>
      </c>
      <c r="F222" s="82" t="s">
        <v>237</v>
      </c>
      <c r="G222" s="82" t="s">
        <v>84</v>
      </c>
      <c r="H222" s="82" t="s">
        <v>77</v>
      </c>
      <c r="I222" s="45" t="s">
        <v>78</v>
      </c>
      <c r="J222" s="82" t="s">
        <v>78</v>
      </c>
      <c r="K222" s="76" t="s">
        <v>3</v>
      </c>
      <c r="L222" s="82" t="s">
        <v>88</v>
      </c>
      <c r="M222" s="82"/>
      <c r="N222" s="52" t="s">
        <v>86</v>
      </c>
      <c r="O222" s="52" t="s">
        <v>87</v>
      </c>
      <c r="P222" s="97">
        <v>0.02</v>
      </c>
      <c r="Q222" s="98"/>
      <c r="R222" s="82"/>
      <c r="S222" s="48"/>
      <c r="T222" s="55">
        <v>0</v>
      </c>
      <c r="U222" s="55"/>
      <c r="V222" s="55">
        <f t="shared" si="26"/>
        <v>0</v>
      </c>
      <c r="W222" s="55">
        <v>0</v>
      </c>
      <c r="X222" s="82"/>
      <c r="Y222" s="50">
        <f t="shared" si="32"/>
        <v>0</v>
      </c>
      <c r="Z222" s="50">
        <f t="shared" si="33"/>
        <v>0</v>
      </c>
      <c r="AA222" s="50">
        <f>W222*P222</f>
        <v>0</v>
      </c>
      <c r="AB222" s="50">
        <v>0</v>
      </c>
      <c r="AC222" s="80">
        <v>0.05</v>
      </c>
      <c r="AD222" s="82"/>
      <c r="AE222" s="82"/>
      <c r="AF222" s="82"/>
      <c r="AG222" s="97">
        <v>0.32</v>
      </c>
      <c r="AH222" s="55">
        <f t="shared" si="31"/>
        <v>0</v>
      </c>
      <c r="AI222" s="55"/>
      <c r="AJ222" s="55">
        <f t="shared" si="35"/>
        <v>0</v>
      </c>
      <c r="AK222" s="55">
        <v>0</v>
      </c>
      <c r="AL222" s="55"/>
      <c r="AM222" s="55">
        <v>0</v>
      </c>
    </row>
    <row r="223" spans="1:40" hidden="1" x14ac:dyDescent="0.25">
      <c r="A223" s="81" t="s">
        <v>246</v>
      </c>
      <c r="B223" s="82" t="s">
        <v>3</v>
      </c>
      <c r="C223" s="82" t="s">
        <v>82</v>
      </c>
      <c r="D223" s="82" t="s">
        <v>83</v>
      </c>
      <c r="E223" s="82" t="s">
        <v>247</v>
      </c>
      <c r="F223" s="82" t="s">
        <v>247</v>
      </c>
      <c r="G223" s="82" t="s">
        <v>247</v>
      </c>
      <c r="H223" s="82" t="s">
        <v>77</v>
      </c>
      <c r="I223" s="45" t="s">
        <v>78</v>
      </c>
      <c r="J223" s="82" t="s">
        <v>78</v>
      </c>
      <c r="K223" s="76" t="s">
        <v>3</v>
      </c>
      <c r="L223" s="82" t="s">
        <v>88</v>
      </c>
      <c r="M223" s="82"/>
      <c r="N223" s="52" t="s">
        <v>126</v>
      </c>
      <c r="O223" s="52" t="s">
        <v>81</v>
      </c>
      <c r="P223" s="97">
        <v>0</v>
      </c>
      <c r="Q223" s="98"/>
      <c r="R223" s="82" t="s">
        <v>54</v>
      </c>
      <c r="S223" s="48">
        <v>0</v>
      </c>
      <c r="T223" s="55">
        <v>50000</v>
      </c>
      <c r="U223" s="55">
        <v>15168.74</v>
      </c>
      <c r="V223" s="55">
        <f t="shared" si="26"/>
        <v>34831.26</v>
      </c>
      <c r="W223" s="55">
        <v>200000</v>
      </c>
      <c r="X223" s="82"/>
      <c r="Y223" s="50">
        <f t="shared" si="32"/>
        <v>150000</v>
      </c>
      <c r="Z223" s="50">
        <f t="shared" si="33"/>
        <v>200000</v>
      </c>
      <c r="AA223" s="50">
        <f t="shared" ref="AA223:AA237" si="36">U223-W223</f>
        <v>-184831.26</v>
      </c>
      <c r="AB223" s="50">
        <v>50000</v>
      </c>
      <c r="AC223" s="80">
        <v>0.05</v>
      </c>
      <c r="AD223" s="82"/>
      <c r="AE223" s="82"/>
      <c r="AF223" s="82"/>
      <c r="AG223" s="97">
        <v>0.24</v>
      </c>
      <c r="AH223" s="55">
        <f t="shared" si="31"/>
        <v>12232.854838709678</v>
      </c>
      <c r="AI223" s="55"/>
      <c r="AJ223" s="55">
        <f t="shared" si="35"/>
        <v>12000</v>
      </c>
      <c r="AK223" s="55">
        <v>15168.74</v>
      </c>
      <c r="AL223" s="55"/>
      <c r="AM223" s="55">
        <f>W223</f>
        <v>200000</v>
      </c>
      <c r="AN223" s="99">
        <f>AM223-W223</f>
        <v>0</v>
      </c>
    </row>
    <row r="224" spans="1:40" hidden="1" x14ac:dyDescent="0.25">
      <c r="A224" s="81" t="s">
        <v>246</v>
      </c>
      <c r="B224" s="82" t="s">
        <v>3</v>
      </c>
      <c r="C224" s="82" t="s">
        <v>82</v>
      </c>
      <c r="D224" s="82" t="s">
        <v>83</v>
      </c>
      <c r="E224" s="82" t="s">
        <v>248</v>
      </c>
      <c r="F224" s="82" t="s">
        <v>248</v>
      </c>
      <c r="G224" s="82" t="s">
        <v>248</v>
      </c>
      <c r="H224" s="82" t="s">
        <v>77</v>
      </c>
      <c r="I224" s="45" t="s">
        <v>78</v>
      </c>
      <c r="J224" s="82" t="s">
        <v>78</v>
      </c>
      <c r="K224" s="76" t="s">
        <v>3</v>
      </c>
      <c r="L224" s="82" t="s">
        <v>88</v>
      </c>
      <c r="M224" s="82"/>
      <c r="N224" s="52" t="s">
        <v>86</v>
      </c>
      <c r="O224" s="52" t="s">
        <v>249</v>
      </c>
      <c r="P224" s="97">
        <v>0.98</v>
      </c>
      <c r="Q224" s="98"/>
      <c r="R224" s="82" t="s">
        <v>250</v>
      </c>
      <c r="S224" s="48">
        <v>0</v>
      </c>
      <c r="T224" s="55">
        <v>150000</v>
      </c>
      <c r="U224" s="55">
        <v>5027.09</v>
      </c>
      <c r="V224" s="55">
        <f t="shared" si="26"/>
        <v>144972.91</v>
      </c>
      <c r="W224" s="55">
        <v>0</v>
      </c>
      <c r="X224" s="82"/>
      <c r="Y224" s="50">
        <f t="shared" si="32"/>
        <v>0</v>
      </c>
      <c r="Z224" s="50">
        <f t="shared" si="33"/>
        <v>0</v>
      </c>
      <c r="AA224" s="50">
        <f t="shared" si="36"/>
        <v>5027.09</v>
      </c>
      <c r="AB224" s="50">
        <v>0</v>
      </c>
      <c r="AC224" s="80">
        <v>0.05</v>
      </c>
      <c r="AD224" s="82"/>
      <c r="AE224" s="82" t="s">
        <v>251</v>
      </c>
      <c r="AF224" s="82"/>
      <c r="AG224" s="97">
        <v>0.3</v>
      </c>
      <c r="AH224" s="55">
        <v>0</v>
      </c>
      <c r="AI224" s="55"/>
      <c r="AJ224" s="55">
        <f t="shared" si="35"/>
        <v>45000</v>
      </c>
      <c r="AK224" s="55">
        <v>5027.09</v>
      </c>
      <c r="AL224" s="55">
        <f>S224+AI224+T224+AJ224-AK224-V224</f>
        <v>45000</v>
      </c>
      <c r="AM224" s="55">
        <v>0</v>
      </c>
    </row>
    <row r="225" spans="1:40" hidden="1" x14ac:dyDescent="0.25">
      <c r="A225" s="81" t="s">
        <v>246</v>
      </c>
      <c r="B225" s="82" t="s">
        <v>3</v>
      </c>
      <c r="C225" s="82" t="s">
        <v>82</v>
      </c>
      <c r="D225" s="82" t="s">
        <v>83</v>
      </c>
      <c r="E225" s="82" t="s">
        <v>88</v>
      </c>
      <c r="F225" s="82" t="s">
        <v>88</v>
      </c>
      <c r="G225" s="82" t="s">
        <v>88</v>
      </c>
      <c r="H225" s="82" t="s">
        <v>77</v>
      </c>
      <c r="I225" s="45" t="s">
        <v>78</v>
      </c>
      <c r="J225" s="82" t="s">
        <v>78</v>
      </c>
      <c r="K225" s="76" t="s">
        <v>3</v>
      </c>
      <c r="L225" s="82" t="s">
        <v>88</v>
      </c>
      <c r="M225" s="82"/>
      <c r="N225" s="52" t="s">
        <v>86</v>
      </c>
      <c r="O225" s="52" t="s">
        <v>94</v>
      </c>
      <c r="P225" s="97">
        <v>0.01</v>
      </c>
      <c r="Q225" s="98"/>
      <c r="R225" s="82" t="s">
        <v>89</v>
      </c>
      <c r="S225" s="48">
        <v>546995.58999999601</v>
      </c>
      <c r="T225" s="55">
        <v>623000</v>
      </c>
      <c r="U225" s="55">
        <v>1156673.58</v>
      </c>
      <c r="V225" s="55">
        <f t="shared" si="26"/>
        <v>13322.009999996051</v>
      </c>
      <c r="W225" s="55">
        <f>IF(O225="折扣",U225*P225,U225*(1+AG225)/(1+P225+AG225))</f>
        <v>1147976.7861654137</v>
      </c>
      <c r="X225" s="55">
        <v>32256</v>
      </c>
      <c r="Y225" s="50">
        <f t="shared" si="32"/>
        <v>0</v>
      </c>
      <c r="Z225" s="50">
        <f t="shared" si="33"/>
        <v>1180240.2330827068</v>
      </c>
      <c r="AA225" s="50">
        <f t="shared" si="36"/>
        <v>8696.793834586395</v>
      </c>
      <c r="AB225" s="50">
        <f>U225</f>
        <v>1156673.58</v>
      </c>
      <c r="AC225" s="80">
        <v>0.05</v>
      </c>
      <c r="AD225" s="82"/>
      <c r="AE225" s="82" t="s">
        <v>252</v>
      </c>
      <c r="AF225" s="82"/>
      <c r="AG225" s="97" t="s">
        <v>242</v>
      </c>
      <c r="AH225" s="55">
        <f t="shared" si="31"/>
        <v>1156681.0833333333</v>
      </c>
      <c r="AI225" s="55">
        <v>175025.15000000599</v>
      </c>
      <c r="AJ225" s="55">
        <f t="shared" si="35"/>
        <v>199360</v>
      </c>
      <c r="AK225" s="55">
        <v>1526819.03</v>
      </c>
      <c r="AL225" s="55">
        <f>S225+AI225+T225+AJ225-AK225-V225</f>
        <v>4239.700000006007</v>
      </c>
      <c r="AM225" s="55">
        <f>IF(O225="折扣",AK225*P225,AK225/(1+P225+AG225))</f>
        <v>1147984.2330827068</v>
      </c>
      <c r="AN225" s="99">
        <f>AM225-W225</f>
        <v>7.4469172931276262</v>
      </c>
    </row>
    <row r="226" spans="1:40" hidden="1" x14ac:dyDescent="0.25">
      <c r="A226" s="81" t="s">
        <v>246</v>
      </c>
      <c r="B226" s="82" t="s">
        <v>3</v>
      </c>
      <c r="C226" s="82" t="s">
        <v>82</v>
      </c>
      <c r="D226" s="82" t="s">
        <v>83</v>
      </c>
      <c r="E226" s="82" t="s">
        <v>88</v>
      </c>
      <c r="F226" s="82" t="s">
        <v>88</v>
      </c>
      <c r="G226" s="82" t="s">
        <v>88</v>
      </c>
      <c r="H226" s="82" t="s">
        <v>77</v>
      </c>
      <c r="I226" s="45" t="s">
        <v>78</v>
      </c>
      <c r="J226" s="82" t="s">
        <v>78</v>
      </c>
      <c r="K226" s="76" t="s">
        <v>3</v>
      </c>
      <c r="L226" s="82" t="s">
        <v>88</v>
      </c>
      <c r="M226" s="82"/>
      <c r="N226" s="52" t="s">
        <v>86</v>
      </c>
      <c r="O226" s="52" t="s">
        <v>81</v>
      </c>
      <c r="P226" s="97">
        <v>0</v>
      </c>
      <c r="Q226" s="98"/>
      <c r="R226" s="82" t="s">
        <v>54</v>
      </c>
      <c r="S226" s="48">
        <v>0</v>
      </c>
      <c r="T226" s="55">
        <v>2199214.7200000002</v>
      </c>
      <c r="U226" s="55">
        <v>2893.4699999998202</v>
      </c>
      <c r="V226" s="55">
        <f t="shared" si="26"/>
        <v>2196321.2500000005</v>
      </c>
      <c r="W226" s="55">
        <f>623000+200000</f>
        <v>823000</v>
      </c>
      <c r="X226" s="55">
        <v>49380</v>
      </c>
      <c r="Y226" s="50">
        <f t="shared" si="32"/>
        <v>200000</v>
      </c>
      <c r="Z226" s="50">
        <f t="shared" si="33"/>
        <v>872380</v>
      </c>
      <c r="AA226" s="50">
        <f t="shared" si="36"/>
        <v>-820106.53000000014</v>
      </c>
      <c r="AB226" s="50">
        <v>623000</v>
      </c>
      <c r="AC226" s="80">
        <v>0.05</v>
      </c>
      <c r="AD226" s="82"/>
      <c r="AE226" s="82" t="s">
        <v>251</v>
      </c>
      <c r="AF226" s="82"/>
      <c r="AG226" s="97">
        <v>0.3</v>
      </c>
      <c r="AH226" s="55">
        <f t="shared" si="31"/>
        <v>2225.7461538461921</v>
      </c>
      <c r="AI226" s="55"/>
      <c r="AJ226" s="55">
        <f t="shared" si="35"/>
        <v>659764.41600000008</v>
      </c>
      <c r="AK226" s="55">
        <v>2893.4700000000498</v>
      </c>
      <c r="AL226" s="55">
        <f>S226+AI226+T226+AJ226-AK226-V226</f>
        <v>659764.41599999974</v>
      </c>
      <c r="AM226" s="55">
        <v>823000</v>
      </c>
      <c r="AN226" s="99">
        <f>AM226-W226</f>
        <v>0</v>
      </c>
    </row>
    <row r="227" spans="1:40" hidden="1" x14ac:dyDescent="0.25">
      <c r="A227" s="81" t="s">
        <v>246</v>
      </c>
      <c r="B227" s="82" t="s">
        <v>3</v>
      </c>
      <c r="C227" s="82" t="s">
        <v>82</v>
      </c>
      <c r="D227" s="82" t="s">
        <v>83</v>
      </c>
      <c r="E227" s="82" t="s">
        <v>88</v>
      </c>
      <c r="F227" s="82" t="s">
        <v>88</v>
      </c>
      <c r="G227" s="82" t="s">
        <v>88</v>
      </c>
      <c r="H227" s="82" t="s">
        <v>77</v>
      </c>
      <c r="I227" s="45" t="s">
        <v>78</v>
      </c>
      <c r="J227" s="82" t="s">
        <v>78</v>
      </c>
      <c r="K227" s="76" t="s">
        <v>3</v>
      </c>
      <c r="L227" s="82" t="s">
        <v>88</v>
      </c>
      <c r="M227" s="82"/>
      <c r="N227" s="52" t="s">
        <v>126</v>
      </c>
      <c r="O227" s="52" t="s">
        <v>94</v>
      </c>
      <c r="P227" s="97">
        <v>0.05</v>
      </c>
      <c r="Q227" s="98"/>
      <c r="R227" s="82" t="s">
        <v>89</v>
      </c>
      <c r="S227" s="48">
        <v>1037878.79</v>
      </c>
      <c r="T227" s="55">
        <v>0</v>
      </c>
      <c r="U227" s="55">
        <v>1037807.41</v>
      </c>
      <c r="V227" s="55">
        <f t="shared" si="26"/>
        <v>71.380000000004657</v>
      </c>
      <c r="W227" s="55">
        <f>IF(O227="折扣",U227*P227,U227*(1+AG227)/(1+P227+AG227))</f>
        <v>999931.22715328471</v>
      </c>
      <c r="X227" s="55">
        <v>60000.000122627702</v>
      </c>
      <c r="Y227" s="50">
        <f t="shared" si="32"/>
        <v>0</v>
      </c>
      <c r="Z227" s="50">
        <f t="shared" si="33"/>
        <v>1060000.0001226277</v>
      </c>
      <c r="AA227" s="50">
        <f t="shared" si="36"/>
        <v>37876.182846715325</v>
      </c>
      <c r="AB227" s="50">
        <f>U227</f>
        <v>1037807.41</v>
      </c>
      <c r="AC227" s="80">
        <v>0.05</v>
      </c>
      <c r="AD227" s="82"/>
      <c r="AE227" s="82"/>
      <c r="AF227" s="82"/>
      <c r="AG227" s="97" t="s">
        <v>242</v>
      </c>
      <c r="AH227" s="55">
        <f t="shared" si="31"/>
        <v>1037878.7878787878</v>
      </c>
      <c r="AI227" s="55"/>
      <c r="AJ227" s="55">
        <f t="shared" si="35"/>
        <v>0</v>
      </c>
      <c r="AK227" s="55">
        <v>1370000</v>
      </c>
      <c r="AL227" s="55"/>
      <c r="AM227" s="55">
        <f>IF(O227="折扣",AK227*P227,AK227/(1+P227+AG227))</f>
        <v>999999.99999999988</v>
      </c>
      <c r="AN227" s="99">
        <f>AM227-W227</f>
        <v>68.772846715175547</v>
      </c>
    </row>
    <row r="228" spans="1:40" hidden="1" x14ac:dyDescent="0.25">
      <c r="A228" s="81" t="s">
        <v>246</v>
      </c>
      <c r="B228" s="82" t="s">
        <v>3</v>
      </c>
      <c r="C228" s="82" t="s">
        <v>95</v>
      </c>
      <c r="D228" s="82" t="s">
        <v>96</v>
      </c>
      <c r="E228" s="82" t="s">
        <v>99</v>
      </c>
      <c r="F228" s="82" t="s">
        <v>99</v>
      </c>
      <c r="G228" s="82" t="s">
        <v>99</v>
      </c>
      <c r="H228" s="82" t="s">
        <v>77</v>
      </c>
      <c r="I228" s="45" t="s">
        <v>78</v>
      </c>
      <c r="J228" s="82" t="s">
        <v>78</v>
      </c>
      <c r="K228" s="76" t="s">
        <v>3</v>
      </c>
      <c r="L228" s="82" t="s">
        <v>98</v>
      </c>
      <c r="M228" s="82"/>
      <c r="N228" s="52" t="s">
        <v>86</v>
      </c>
      <c r="O228" s="52" t="s">
        <v>94</v>
      </c>
      <c r="P228" s="97">
        <v>0.03</v>
      </c>
      <c r="Q228" s="98"/>
      <c r="R228" s="82"/>
      <c r="S228" s="48">
        <v>5696.55</v>
      </c>
      <c r="T228" s="55">
        <v>0</v>
      </c>
      <c r="U228" s="55">
        <v>0</v>
      </c>
      <c r="V228" s="55">
        <f t="shared" si="26"/>
        <v>5696.55</v>
      </c>
      <c r="W228" s="55">
        <f>IF(O228="折扣",U228*P228,U228*(1+AG228)/(1+P228+AG228))</f>
        <v>0</v>
      </c>
      <c r="X228" s="82"/>
      <c r="Y228" s="50">
        <f t="shared" si="32"/>
        <v>0</v>
      </c>
      <c r="Z228" s="50">
        <f t="shared" si="33"/>
        <v>0</v>
      </c>
      <c r="AA228" s="50">
        <f t="shared" si="36"/>
        <v>0</v>
      </c>
      <c r="AB228" s="50">
        <f>U228</f>
        <v>0</v>
      </c>
      <c r="AC228" s="80">
        <v>0.05</v>
      </c>
      <c r="AD228" s="82"/>
      <c r="AE228" s="82"/>
      <c r="AF228" s="82"/>
      <c r="AG228" s="97">
        <v>0</v>
      </c>
      <c r="AH228" s="55">
        <f t="shared" si="31"/>
        <v>0</v>
      </c>
      <c r="AI228" s="55"/>
      <c r="AJ228" s="55">
        <f t="shared" si="35"/>
        <v>0</v>
      </c>
      <c r="AK228" s="55">
        <v>0</v>
      </c>
      <c r="AL228" s="55"/>
      <c r="AM228" s="55">
        <f>IF(O228="折扣",AK228*P228,AK228/(1+P228+AG228))</f>
        <v>0</v>
      </c>
    </row>
    <row r="229" spans="1:40" hidden="1" x14ac:dyDescent="0.25">
      <c r="A229" s="81" t="s">
        <v>246</v>
      </c>
      <c r="B229" s="82" t="s">
        <v>3</v>
      </c>
      <c r="C229" s="82" t="s">
        <v>95</v>
      </c>
      <c r="D229" s="82" t="s">
        <v>96</v>
      </c>
      <c r="E229" s="82" t="s">
        <v>191</v>
      </c>
      <c r="F229" s="82" t="s">
        <v>191</v>
      </c>
      <c r="G229" s="82" t="s">
        <v>191</v>
      </c>
      <c r="H229" s="82" t="s">
        <v>77</v>
      </c>
      <c r="I229" s="45" t="s">
        <v>78</v>
      </c>
      <c r="J229" s="82" t="s">
        <v>78</v>
      </c>
      <c r="K229" s="76" t="s">
        <v>3</v>
      </c>
      <c r="L229" s="82" t="s">
        <v>192</v>
      </c>
      <c r="M229" s="82"/>
      <c r="N229" s="52" t="s">
        <v>86</v>
      </c>
      <c r="O229" s="52" t="s">
        <v>81</v>
      </c>
      <c r="P229" s="97">
        <v>0</v>
      </c>
      <c r="Q229" s="98"/>
      <c r="R229" s="82"/>
      <c r="S229" s="48">
        <v>6379.42</v>
      </c>
      <c r="T229" s="55">
        <v>0</v>
      </c>
      <c r="U229" s="55">
        <v>0</v>
      </c>
      <c r="V229" s="55">
        <f t="shared" si="26"/>
        <v>6379.42</v>
      </c>
      <c r="W229" s="55">
        <f>IF(O229="折扣",U229*P229,U229*(1+AG229)/(1+P229+AG229))</f>
        <v>0</v>
      </c>
      <c r="X229" s="82"/>
      <c r="Y229" s="50">
        <f t="shared" si="32"/>
        <v>0</v>
      </c>
      <c r="Z229" s="50">
        <f t="shared" si="33"/>
        <v>0</v>
      </c>
      <c r="AA229" s="50">
        <f t="shared" si="36"/>
        <v>0</v>
      </c>
      <c r="AB229" s="50">
        <f>U229</f>
        <v>0</v>
      </c>
      <c r="AC229" s="80">
        <v>0.05</v>
      </c>
      <c r="AD229" s="82"/>
      <c r="AE229" s="82"/>
      <c r="AF229" s="82"/>
      <c r="AG229" s="97">
        <v>0.11</v>
      </c>
      <c r="AH229" s="55">
        <f t="shared" si="31"/>
        <v>0</v>
      </c>
      <c r="AI229" s="55"/>
      <c r="AJ229" s="55">
        <f t="shared" si="35"/>
        <v>0</v>
      </c>
      <c r="AK229" s="55">
        <v>0</v>
      </c>
      <c r="AL229" s="55"/>
      <c r="AM229" s="55">
        <f>IF(O229="折扣",AK229*P229,AK229/(1+P229+AG229))</f>
        <v>0</v>
      </c>
    </row>
    <row r="230" spans="1:40" hidden="1" x14ac:dyDescent="0.25">
      <c r="A230" s="81" t="s">
        <v>246</v>
      </c>
      <c r="B230" s="82" t="s">
        <v>3</v>
      </c>
      <c r="C230" s="82" t="s">
        <v>81</v>
      </c>
      <c r="D230" s="82" t="s">
        <v>81</v>
      </c>
      <c r="E230" s="82" t="s">
        <v>108</v>
      </c>
      <c r="F230" s="82" t="s">
        <v>108</v>
      </c>
      <c r="G230" s="82" t="s">
        <v>108</v>
      </c>
      <c r="H230" s="82" t="s">
        <v>77</v>
      </c>
      <c r="I230" s="45" t="s">
        <v>78</v>
      </c>
      <c r="J230" s="82" t="s">
        <v>78</v>
      </c>
      <c r="K230" s="76" t="s">
        <v>3</v>
      </c>
      <c r="L230" s="82" t="s">
        <v>108</v>
      </c>
      <c r="M230" s="82"/>
      <c r="N230" s="52" t="s">
        <v>86</v>
      </c>
      <c r="O230" s="52" t="s">
        <v>81</v>
      </c>
      <c r="P230" s="97">
        <v>0</v>
      </c>
      <c r="Q230" s="98"/>
      <c r="R230" s="82"/>
      <c r="S230" s="48">
        <v>16597.23</v>
      </c>
      <c r="T230" s="55">
        <v>0</v>
      </c>
      <c r="U230" s="55">
        <v>53.63</v>
      </c>
      <c r="V230" s="55">
        <f t="shared" si="26"/>
        <v>16543.599999999999</v>
      </c>
      <c r="W230" s="55">
        <f>IF(O230="折扣",U230*P230,U230*(1+AG230)/(1+P230+AG230))</f>
        <v>53.63</v>
      </c>
      <c r="X230" s="82"/>
      <c r="Y230" s="50">
        <f t="shared" si="32"/>
        <v>0</v>
      </c>
      <c r="Z230" s="50">
        <f t="shared" si="33"/>
        <v>37.767605633802823</v>
      </c>
      <c r="AA230" s="50">
        <f t="shared" si="36"/>
        <v>0</v>
      </c>
      <c r="AB230" s="50">
        <f>U230</f>
        <v>53.63</v>
      </c>
      <c r="AC230" s="80">
        <v>0.05</v>
      </c>
      <c r="AD230" s="82"/>
      <c r="AE230" s="82"/>
      <c r="AF230" s="82"/>
      <c r="AG230" s="97">
        <v>0.42</v>
      </c>
      <c r="AH230" s="55">
        <f t="shared" si="31"/>
        <v>37.767605633802823</v>
      </c>
      <c r="AI230" s="55"/>
      <c r="AJ230" s="55">
        <f t="shared" si="35"/>
        <v>0</v>
      </c>
      <c r="AK230" s="55">
        <v>53.63</v>
      </c>
      <c r="AL230" s="55"/>
      <c r="AM230" s="55">
        <f>IF(O230="折扣",AK230*P230,AK230/(1+P230+AG230))</f>
        <v>37.767605633802823</v>
      </c>
      <c r="AN230" s="99">
        <f>AM230-W230</f>
        <v>-15.862394366197179</v>
      </c>
    </row>
    <row r="231" spans="1:40" hidden="1" x14ac:dyDescent="0.25">
      <c r="A231" s="81" t="s">
        <v>246</v>
      </c>
      <c r="B231" s="82" t="s">
        <v>3</v>
      </c>
      <c r="C231" s="82" t="s">
        <v>81</v>
      </c>
      <c r="D231" s="82" t="s">
        <v>81</v>
      </c>
      <c r="E231" s="82" t="s">
        <v>253</v>
      </c>
      <c r="F231" s="82" t="s">
        <v>253</v>
      </c>
      <c r="G231" s="82" t="s">
        <v>253</v>
      </c>
      <c r="H231" s="82" t="s">
        <v>77</v>
      </c>
      <c r="I231" s="45" t="s">
        <v>78</v>
      </c>
      <c r="J231" s="82" t="s">
        <v>78</v>
      </c>
      <c r="K231" s="76" t="s">
        <v>3</v>
      </c>
      <c r="L231" s="82" t="s">
        <v>253</v>
      </c>
      <c r="M231" s="82"/>
      <c r="N231" s="52" t="s">
        <v>86</v>
      </c>
      <c r="O231" s="52" t="s">
        <v>81</v>
      </c>
      <c r="P231" s="97">
        <v>0</v>
      </c>
      <c r="Q231" s="98"/>
      <c r="R231" s="82"/>
      <c r="S231" s="48">
        <v>0</v>
      </c>
      <c r="T231" s="55">
        <v>0</v>
      </c>
      <c r="U231" s="55">
        <v>1.02</v>
      </c>
      <c r="V231" s="55">
        <f t="shared" si="26"/>
        <v>-1.02</v>
      </c>
      <c r="W231" s="55">
        <f>IF(O231="折扣",U231*P231,U231*(1+AG231)/(1+P231+AG231))</f>
        <v>1.02</v>
      </c>
      <c r="X231" s="82"/>
      <c r="Y231" s="50">
        <f t="shared" si="32"/>
        <v>0</v>
      </c>
      <c r="Z231" s="50">
        <f t="shared" si="33"/>
        <v>0.88028169014084512</v>
      </c>
      <c r="AA231" s="50">
        <f t="shared" si="36"/>
        <v>0</v>
      </c>
      <c r="AB231" s="50">
        <f>U231</f>
        <v>1.02</v>
      </c>
      <c r="AC231" s="80">
        <v>0.05</v>
      </c>
      <c r="AD231" s="82"/>
      <c r="AE231" s="82"/>
      <c r="AF231" s="82"/>
      <c r="AG231" s="97">
        <v>0.42</v>
      </c>
      <c r="AH231" s="55">
        <f t="shared" si="31"/>
        <v>0.88028169014084512</v>
      </c>
      <c r="AI231" s="55"/>
      <c r="AJ231" s="55">
        <f t="shared" si="35"/>
        <v>0</v>
      </c>
      <c r="AK231" s="55">
        <v>1.25</v>
      </c>
      <c r="AL231" s="55"/>
      <c r="AM231" s="55">
        <f>IF(O231="折扣",AK231*P231,AK231/(1+P231+AG231))</f>
        <v>0.88028169014084512</v>
      </c>
      <c r="AN231" s="99">
        <f>AM231-W231</f>
        <v>-0.1397183098591549</v>
      </c>
    </row>
    <row r="232" spans="1:40" hidden="1" x14ac:dyDescent="0.25">
      <c r="A232" s="81" t="s">
        <v>246</v>
      </c>
      <c r="B232" s="82" t="s">
        <v>3</v>
      </c>
      <c r="C232" s="82" t="s">
        <v>82</v>
      </c>
      <c r="D232" s="82" t="s">
        <v>83</v>
      </c>
      <c r="E232" s="82" t="s">
        <v>84</v>
      </c>
      <c r="F232" s="82" t="s">
        <v>237</v>
      </c>
      <c r="G232" s="82" t="s">
        <v>84</v>
      </c>
      <c r="H232" s="82" t="s">
        <v>202</v>
      </c>
      <c r="I232" s="45" t="s">
        <v>203</v>
      </c>
      <c r="J232" s="82" t="s">
        <v>244</v>
      </c>
      <c r="K232" s="76" t="s">
        <v>3</v>
      </c>
      <c r="L232" s="82" t="s">
        <v>84</v>
      </c>
      <c r="M232" s="82"/>
      <c r="N232" s="82" t="s">
        <v>86</v>
      </c>
      <c r="O232" s="82" t="s">
        <v>81</v>
      </c>
      <c r="P232" s="80">
        <v>0</v>
      </c>
      <c r="Q232" s="82"/>
      <c r="R232" s="82" t="s">
        <v>205</v>
      </c>
      <c r="S232" s="48">
        <v>0</v>
      </c>
      <c r="T232" s="55">
        <v>1943.83</v>
      </c>
      <c r="U232" s="55">
        <v>1943.83</v>
      </c>
      <c r="V232" s="55">
        <f t="shared" si="26"/>
        <v>0</v>
      </c>
      <c r="W232" s="55">
        <v>0</v>
      </c>
      <c r="X232" s="82"/>
      <c r="Y232" s="50">
        <f t="shared" si="32"/>
        <v>0</v>
      </c>
      <c r="Z232" s="50">
        <f t="shared" si="33"/>
        <v>0</v>
      </c>
      <c r="AA232" s="50">
        <f t="shared" si="36"/>
        <v>1943.83</v>
      </c>
      <c r="AB232" s="55">
        <v>1943.83</v>
      </c>
      <c r="AC232" s="80">
        <v>0</v>
      </c>
      <c r="AD232" s="82"/>
      <c r="AE232" s="82"/>
      <c r="AF232" s="82"/>
      <c r="AG232" s="80">
        <v>0</v>
      </c>
      <c r="AH232" s="100"/>
      <c r="AI232" s="100"/>
      <c r="AJ232" s="100"/>
      <c r="AK232" s="100"/>
      <c r="AL232" s="100"/>
      <c r="AM232" s="100"/>
    </row>
    <row r="233" spans="1:40" hidden="1" x14ac:dyDescent="0.25">
      <c r="A233" s="81" t="s">
        <v>246</v>
      </c>
      <c r="B233" s="82" t="s">
        <v>3</v>
      </c>
      <c r="C233" s="82" t="s">
        <v>82</v>
      </c>
      <c r="D233" s="82" t="s">
        <v>83</v>
      </c>
      <c r="E233" s="82" t="s">
        <v>88</v>
      </c>
      <c r="F233" s="82" t="s">
        <v>88</v>
      </c>
      <c r="G233" s="82" t="s">
        <v>88</v>
      </c>
      <c r="H233" s="82" t="s">
        <v>77</v>
      </c>
      <c r="I233" s="45" t="s">
        <v>78</v>
      </c>
      <c r="J233" s="82" t="s">
        <v>78</v>
      </c>
      <c r="K233" s="76" t="s">
        <v>3</v>
      </c>
      <c r="L233" s="82" t="s">
        <v>88</v>
      </c>
      <c r="M233" s="82"/>
      <c r="N233" s="82" t="s">
        <v>201</v>
      </c>
      <c r="O233" s="82" t="s">
        <v>81</v>
      </c>
      <c r="P233" s="80">
        <v>0</v>
      </c>
      <c r="Q233" s="82"/>
      <c r="R233" s="82"/>
      <c r="S233" s="48">
        <v>0</v>
      </c>
      <c r="T233" s="55">
        <v>3091718</v>
      </c>
      <c r="U233" s="55">
        <v>6400000</v>
      </c>
      <c r="V233" s="55">
        <f t="shared" si="26"/>
        <v>-3308282</v>
      </c>
      <c r="W233" s="55">
        <v>6410256.4100000001</v>
      </c>
      <c r="X233" s="55">
        <f>W233*6%</f>
        <v>384615.38459999999</v>
      </c>
      <c r="Y233" s="50">
        <f t="shared" si="32"/>
        <v>2705506.41</v>
      </c>
      <c r="Z233" s="50">
        <f t="shared" si="33"/>
        <v>6794871.7946000006</v>
      </c>
      <c r="AA233" s="50">
        <f t="shared" si="36"/>
        <v>-10256.410000000149</v>
      </c>
      <c r="AB233" s="55">
        <v>3704750</v>
      </c>
      <c r="AC233" s="80">
        <v>0.05</v>
      </c>
      <c r="AD233" s="82"/>
      <c r="AE233" s="82"/>
      <c r="AF233" s="82" t="s">
        <v>254</v>
      </c>
      <c r="AG233" s="80">
        <v>0.35</v>
      </c>
      <c r="AH233" s="100"/>
      <c r="AI233" s="100"/>
      <c r="AJ233" s="100"/>
      <c r="AK233" s="100"/>
      <c r="AL233" s="100"/>
      <c r="AM233" s="100"/>
    </row>
    <row r="234" spans="1:40" hidden="1" x14ac:dyDescent="0.25">
      <c r="A234" s="81" t="s">
        <v>246</v>
      </c>
      <c r="B234" s="82" t="s">
        <v>3</v>
      </c>
      <c r="C234" s="82" t="s">
        <v>82</v>
      </c>
      <c r="D234" s="82" t="s">
        <v>83</v>
      </c>
      <c r="E234" s="82" t="s">
        <v>88</v>
      </c>
      <c r="F234" s="82" t="s">
        <v>88</v>
      </c>
      <c r="G234" s="82" t="s">
        <v>88</v>
      </c>
      <c r="H234" s="82" t="s">
        <v>202</v>
      </c>
      <c r="I234" s="45" t="s">
        <v>203</v>
      </c>
      <c r="J234" s="82" t="s">
        <v>244</v>
      </c>
      <c r="K234" s="76" t="s">
        <v>3</v>
      </c>
      <c r="L234" s="82" t="s">
        <v>88</v>
      </c>
      <c r="M234" s="82"/>
      <c r="N234" s="82" t="s">
        <v>86</v>
      </c>
      <c r="O234" s="82" t="s">
        <v>81</v>
      </c>
      <c r="P234" s="80">
        <v>0</v>
      </c>
      <c r="Q234" s="82"/>
      <c r="R234" s="82" t="s">
        <v>205</v>
      </c>
      <c r="S234" s="48">
        <v>113492.08</v>
      </c>
      <c r="T234" s="55">
        <v>67634.25</v>
      </c>
      <c r="U234" s="55">
        <v>67634.25</v>
      </c>
      <c r="V234" s="55">
        <v>0</v>
      </c>
      <c r="W234" s="55">
        <v>0</v>
      </c>
      <c r="X234" s="82"/>
      <c r="Y234" s="50">
        <f t="shared" si="32"/>
        <v>0</v>
      </c>
      <c r="Z234" s="50">
        <f t="shared" si="33"/>
        <v>0</v>
      </c>
      <c r="AA234" s="50">
        <f t="shared" si="36"/>
        <v>67634.25</v>
      </c>
      <c r="AB234" s="55">
        <v>67634.25</v>
      </c>
      <c r="AC234" s="80">
        <v>0</v>
      </c>
      <c r="AD234" s="82"/>
      <c r="AE234" s="82"/>
      <c r="AF234" s="82"/>
      <c r="AG234" s="80">
        <v>0</v>
      </c>
      <c r="AH234" s="100"/>
      <c r="AI234" s="100"/>
      <c r="AJ234" s="100"/>
      <c r="AK234" s="100"/>
      <c r="AL234" s="100"/>
      <c r="AM234" s="100"/>
    </row>
    <row r="235" spans="1:40" hidden="1" x14ac:dyDescent="0.25">
      <c r="A235" s="81" t="s">
        <v>246</v>
      </c>
      <c r="B235" s="76" t="s">
        <v>3</v>
      </c>
      <c r="C235" s="76" t="s">
        <v>82</v>
      </c>
      <c r="D235" s="76" t="s">
        <v>83</v>
      </c>
      <c r="E235" s="76" t="s">
        <v>84</v>
      </c>
      <c r="F235" s="76" t="s">
        <v>84</v>
      </c>
      <c r="G235" s="76" t="s">
        <v>84</v>
      </c>
      <c r="H235" s="76" t="s">
        <v>202</v>
      </c>
      <c r="I235" s="45" t="s">
        <v>203</v>
      </c>
      <c r="J235" s="76" t="s">
        <v>244</v>
      </c>
      <c r="K235" s="76" t="s">
        <v>3</v>
      </c>
      <c r="L235" s="76" t="s">
        <v>84</v>
      </c>
      <c r="M235" s="76"/>
      <c r="N235" s="76" t="s">
        <v>86</v>
      </c>
      <c r="O235" s="76" t="s">
        <v>81</v>
      </c>
      <c r="P235" s="101">
        <v>0</v>
      </c>
      <c r="Q235" s="44"/>
      <c r="R235" s="76"/>
      <c r="S235" s="48">
        <v>4076.12</v>
      </c>
      <c r="T235" s="55"/>
      <c r="U235" s="55">
        <v>0</v>
      </c>
      <c r="V235" s="55">
        <v>0</v>
      </c>
      <c r="W235" s="55">
        <f>IF(O235="折扣",U235*P235,U235*(1+AG235)/(1+P235+AG235))</f>
        <v>0</v>
      </c>
      <c r="Y235" s="50">
        <f t="shared" si="32"/>
        <v>0</v>
      </c>
      <c r="Z235" s="50">
        <f t="shared" si="33"/>
        <v>0</v>
      </c>
      <c r="AA235" s="50">
        <f t="shared" si="36"/>
        <v>0</v>
      </c>
      <c r="AB235" s="102">
        <v>0</v>
      </c>
      <c r="AC235" s="80">
        <v>0</v>
      </c>
      <c r="AG235" s="80" t="s">
        <v>241</v>
      </c>
      <c r="AH235" s="100"/>
      <c r="AI235" s="100"/>
      <c r="AJ235" s="100"/>
      <c r="AK235" s="100"/>
      <c r="AL235" s="100"/>
      <c r="AM235" s="100"/>
    </row>
    <row r="236" spans="1:40" hidden="1" x14ac:dyDescent="0.25">
      <c r="A236" s="81" t="s">
        <v>246</v>
      </c>
      <c r="B236" s="92" t="s">
        <v>3</v>
      </c>
      <c r="C236" s="92" t="s">
        <v>82</v>
      </c>
      <c r="D236" s="92" t="s">
        <v>83</v>
      </c>
      <c r="E236" s="92" t="s">
        <v>88</v>
      </c>
      <c r="F236" s="92" t="s">
        <v>88</v>
      </c>
      <c r="G236" s="92" t="s">
        <v>88</v>
      </c>
      <c r="H236" s="92" t="s">
        <v>255</v>
      </c>
      <c r="I236" s="45" t="s">
        <v>203</v>
      </c>
      <c r="J236" s="92" t="s">
        <v>256</v>
      </c>
      <c r="K236" s="76" t="s">
        <v>3</v>
      </c>
      <c r="L236" s="92" t="s">
        <v>88</v>
      </c>
      <c r="M236" s="92"/>
      <c r="N236" s="92" t="s">
        <v>86</v>
      </c>
      <c r="O236" s="92" t="s">
        <v>94</v>
      </c>
      <c r="P236" s="93">
        <v>0.06</v>
      </c>
      <c r="Q236" s="93"/>
      <c r="R236" s="92"/>
      <c r="S236" s="48">
        <v>0</v>
      </c>
      <c r="T236" s="96">
        <v>0</v>
      </c>
      <c r="U236" s="96">
        <f>W236</f>
        <v>85.922413793103402</v>
      </c>
      <c r="V236" s="96">
        <v>0</v>
      </c>
      <c r="W236" s="96">
        <v>85.922413793103402</v>
      </c>
      <c r="X236" s="96"/>
      <c r="Y236" s="50">
        <f t="shared" si="32"/>
        <v>0</v>
      </c>
      <c r="Z236" s="50">
        <f t="shared" si="33"/>
        <v>85.922413793103402</v>
      </c>
      <c r="AA236" s="96">
        <f t="shared" si="36"/>
        <v>0</v>
      </c>
      <c r="AB236" s="96">
        <f>U236</f>
        <v>85.922413793103402</v>
      </c>
      <c r="AC236" s="93">
        <v>0</v>
      </c>
      <c r="AD236" s="92"/>
      <c r="AE236" s="92"/>
      <c r="AF236" s="92"/>
      <c r="AG236" s="93" t="s">
        <v>257</v>
      </c>
      <c r="AH236" s="103"/>
      <c r="AI236" s="103"/>
      <c r="AJ236" s="103"/>
      <c r="AK236" s="103"/>
      <c r="AL236" s="103"/>
      <c r="AM236" s="103"/>
    </row>
    <row r="237" spans="1:40" hidden="1" x14ac:dyDescent="0.25">
      <c r="A237" s="81" t="s">
        <v>246</v>
      </c>
      <c r="B237" s="82" t="s">
        <v>3</v>
      </c>
      <c r="C237" s="82" t="s">
        <v>82</v>
      </c>
      <c r="D237" s="82" t="s">
        <v>83</v>
      </c>
      <c r="E237" s="82" t="s">
        <v>88</v>
      </c>
      <c r="F237" s="82" t="s">
        <v>88</v>
      </c>
      <c r="G237" s="82" t="s">
        <v>88</v>
      </c>
      <c r="H237" s="82" t="s">
        <v>77</v>
      </c>
      <c r="I237" s="45" t="s">
        <v>78</v>
      </c>
      <c r="J237" s="82" t="s">
        <v>78</v>
      </c>
      <c r="K237" s="76" t="s">
        <v>3</v>
      </c>
      <c r="L237" s="82" t="s">
        <v>88</v>
      </c>
      <c r="M237" s="82"/>
      <c r="N237" s="82" t="s">
        <v>201</v>
      </c>
      <c r="O237" s="79" t="s">
        <v>94</v>
      </c>
      <c r="P237" s="78">
        <v>0.01</v>
      </c>
      <c r="Q237" s="82"/>
      <c r="R237" s="98" t="s">
        <v>258</v>
      </c>
      <c r="S237" s="48"/>
      <c r="T237" s="55"/>
      <c r="U237" s="55">
        <v>24590.1</v>
      </c>
      <c r="V237" s="55"/>
      <c r="W237" s="104">
        <f>U237*(1+AG237)/(1+P237+AG237)</f>
        <v>24405.212030075189</v>
      </c>
      <c r="X237" s="55">
        <v>0</v>
      </c>
      <c r="Y237" s="50">
        <f t="shared" si="32"/>
        <v>0</v>
      </c>
      <c r="Z237" s="50">
        <f t="shared" si="33"/>
        <v>24405.212030075189</v>
      </c>
      <c r="AA237" s="50">
        <f t="shared" si="36"/>
        <v>184.88796992481002</v>
      </c>
      <c r="AB237" s="55">
        <f>U237</f>
        <v>24590.1</v>
      </c>
      <c r="AC237" s="80">
        <v>0.05</v>
      </c>
      <c r="AD237" s="82"/>
      <c r="AE237" s="82" t="s">
        <v>258</v>
      </c>
      <c r="AF237" s="82"/>
      <c r="AG237" s="105">
        <v>0.32</v>
      </c>
      <c r="AH237" s="100"/>
      <c r="AI237" s="100"/>
      <c r="AJ237" s="100"/>
      <c r="AK237" s="100"/>
      <c r="AL237" s="100"/>
      <c r="AM237" s="100"/>
    </row>
    <row r="238" spans="1:40" hidden="1" x14ac:dyDescent="0.25">
      <c r="A238" s="106" t="s">
        <v>259</v>
      </c>
      <c r="B238" s="52" t="s">
        <v>3</v>
      </c>
      <c r="C238" s="52" t="s">
        <v>82</v>
      </c>
      <c r="D238" s="52" t="s">
        <v>83</v>
      </c>
      <c r="E238" s="52" t="s">
        <v>247</v>
      </c>
      <c r="F238" s="52" t="s">
        <v>247</v>
      </c>
      <c r="G238" s="52" t="s">
        <v>247</v>
      </c>
      <c r="H238" s="52" t="s">
        <v>77</v>
      </c>
      <c r="I238" s="45" t="s">
        <v>78</v>
      </c>
      <c r="J238" s="52" t="s">
        <v>78</v>
      </c>
      <c r="K238" s="52" t="s">
        <v>3</v>
      </c>
      <c r="L238" s="52" t="s">
        <v>88</v>
      </c>
      <c r="N238" s="52" t="s">
        <v>126</v>
      </c>
      <c r="O238" s="52" t="s">
        <v>81</v>
      </c>
      <c r="P238" s="97">
        <v>0</v>
      </c>
      <c r="Q238" s="107"/>
      <c r="R238" s="52" t="s">
        <v>54</v>
      </c>
      <c r="S238" s="48">
        <v>34831.26</v>
      </c>
      <c r="T238" s="100">
        <v>200000</v>
      </c>
      <c r="U238" s="100">
        <v>218697.74</v>
      </c>
      <c r="V238" s="100">
        <f t="shared" ref="V238:V287" si="37">S238+T238-U238</f>
        <v>16133.520000000019</v>
      </c>
      <c r="W238" s="100">
        <v>1608518</v>
      </c>
      <c r="X238" s="100"/>
      <c r="Y238" s="50">
        <f t="shared" si="32"/>
        <v>1408518</v>
      </c>
      <c r="Z238" s="50">
        <f t="shared" si="33"/>
        <v>1608518</v>
      </c>
      <c r="AA238" s="100">
        <f t="shared" ref="AA238:AA269" si="38">IF(O238="返现",W238*P238,U238-W238)</f>
        <v>-1389820.26</v>
      </c>
      <c r="AB238" s="100">
        <v>200000</v>
      </c>
      <c r="AC238" s="97">
        <v>0.05</v>
      </c>
      <c r="AD238" s="108"/>
      <c r="AE238" s="100"/>
      <c r="AF238" s="100"/>
      <c r="AG238" s="97">
        <v>0.24</v>
      </c>
      <c r="AH238" s="100">
        <f>AB238</f>
        <v>200000</v>
      </c>
      <c r="AI238" s="100">
        <v>0</v>
      </c>
      <c r="AJ238" s="100">
        <f t="shared" ref="AJ238:AJ269" si="39">T238*AG238</f>
        <v>48000</v>
      </c>
      <c r="AK238" s="100">
        <v>266697.74</v>
      </c>
      <c r="AL238" s="99">
        <f t="shared" ref="AL238:AL269" si="40">AI238+AJ238+AK238-U238</f>
        <v>96000</v>
      </c>
      <c r="AM238" s="99">
        <f>W238</f>
        <v>1608518</v>
      </c>
      <c r="AN238" s="99">
        <f>AM238-W238</f>
        <v>0</v>
      </c>
    </row>
    <row r="239" spans="1:40" hidden="1" x14ac:dyDescent="0.25">
      <c r="A239" s="106" t="s">
        <v>259</v>
      </c>
      <c r="B239" s="52" t="s">
        <v>3</v>
      </c>
      <c r="C239" s="52" t="s">
        <v>82</v>
      </c>
      <c r="D239" s="52" t="s">
        <v>83</v>
      </c>
      <c r="E239" s="52" t="s">
        <v>248</v>
      </c>
      <c r="F239" s="52" t="s">
        <v>248</v>
      </c>
      <c r="G239" s="52" t="s">
        <v>248</v>
      </c>
      <c r="H239" s="52" t="s">
        <v>77</v>
      </c>
      <c r="I239" s="45" t="s">
        <v>78</v>
      </c>
      <c r="J239" s="52" t="s">
        <v>78</v>
      </c>
      <c r="K239" s="52" t="s">
        <v>3</v>
      </c>
      <c r="L239" s="52" t="s">
        <v>88</v>
      </c>
      <c r="N239" s="52" t="s">
        <v>86</v>
      </c>
      <c r="O239" s="52" t="s">
        <v>249</v>
      </c>
      <c r="P239" s="97">
        <v>0.98</v>
      </c>
      <c r="Q239" s="107"/>
      <c r="R239" s="52" t="s">
        <v>54</v>
      </c>
      <c r="S239" s="48">
        <v>144972.91</v>
      </c>
      <c r="T239" s="100">
        <v>150000</v>
      </c>
      <c r="U239" s="100">
        <v>144977.1</v>
      </c>
      <c r="V239" s="100">
        <f t="shared" si="37"/>
        <v>149995.81000000003</v>
      </c>
      <c r="W239" s="100">
        <v>949457.32</v>
      </c>
      <c r="X239" s="100"/>
      <c r="Y239" s="50">
        <f t="shared" si="32"/>
        <v>799457.32</v>
      </c>
      <c r="Z239" s="50">
        <f t="shared" si="33"/>
        <v>949457.32</v>
      </c>
      <c r="AA239" s="100">
        <f t="shared" si="38"/>
        <v>-804480.22</v>
      </c>
      <c r="AB239" s="100">
        <v>150000</v>
      </c>
      <c r="AC239" s="97">
        <v>0.05</v>
      </c>
      <c r="AD239" s="108"/>
      <c r="AE239" s="100"/>
      <c r="AF239" s="100"/>
      <c r="AG239" s="97">
        <v>0.3</v>
      </c>
      <c r="AH239" s="100">
        <v>150000</v>
      </c>
      <c r="AI239" s="100">
        <v>45000</v>
      </c>
      <c r="AJ239" s="100">
        <f t="shared" si="39"/>
        <v>45000</v>
      </c>
      <c r="AK239" s="100">
        <v>167956.19</v>
      </c>
      <c r="AL239" s="99">
        <f t="shared" si="40"/>
        <v>112979.09</v>
      </c>
      <c r="AM239" s="100">
        <v>949457.32</v>
      </c>
      <c r="AN239" s="99">
        <f>AM239-W239</f>
        <v>0</v>
      </c>
    </row>
    <row r="240" spans="1:40" hidden="1" x14ac:dyDescent="0.25">
      <c r="A240" s="106" t="s">
        <v>259</v>
      </c>
      <c r="B240" s="52" t="s">
        <v>3</v>
      </c>
      <c r="C240" s="52" t="s">
        <v>82</v>
      </c>
      <c r="D240" s="52" t="s">
        <v>83</v>
      </c>
      <c r="E240" s="52" t="s">
        <v>88</v>
      </c>
      <c r="F240" s="52" t="s">
        <v>88</v>
      </c>
      <c r="G240" s="52" t="s">
        <v>88</v>
      </c>
      <c r="H240" s="52" t="s">
        <v>77</v>
      </c>
      <c r="I240" s="45" t="s">
        <v>78</v>
      </c>
      <c r="J240" s="52" t="s">
        <v>78</v>
      </c>
      <c r="K240" s="52" t="s">
        <v>3</v>
      </c>
      <c r="L240" s="52" t="s">
        <v>88</v>
      </c>
      <c r="N240" s="52" t="s">
        <v>86</v>
      </c>
      <c r="O240" s="52" t="s">
        <v>81</v>
      </c>
      <c r="P240" s="97">
        <v>0</v>
      </c>
      <c r="Q240" s="107"/>
      <c r="R240" s="52" t="s">
        <v>260</v>
      </c>
      <c r="S240" s="48">
        <v>2196321.25</v>
      </c>
      <c r="T240" s="100">
        <v>933830.44</v>
      </c>
      <c r="U240" s="100">
        <v>2088475.88</v>
      </c>
      <c r="V240" s="100">
        <f t="shared" si="37"/>
        <v>1041675.81</v>
      </c>
      <c r="W240" s="100">
        <v>2917214.7168000001</v>
      </c>
      <c r="X240" s="100">
        <v>155952.88320000001</v>
      </c>
      <c r="Y240" s="50">
        <f t="shared" si="32"/>
        <v>717999.99679999985</v>
      </c>
      <c r="Z240" s="50">
        <f t="shared" si="33"/>
        <v>3073167.6</v>
      </c>
      <c r="AA240" s="100">
        <f t="shared" si="38"/>
        <v>-828738.83680000016</v>
      </c>
      <c r="AB240" s="100">
        <v>2199214.7200000002</v>
      </c>
      <c r="AC240" s="97">
        <v>0.05</v>
      </c>
      <c r="AD240" s="108"/>
      <c r="AE240" s="100"/>
      <c r="AF240" s="100"/>
      <c r="AG240" s="97">
        <v>0.3</v>
      </c>
      <c r="AH240" s="100">
        <f>AB240</f>
        <v>2199214.7200000002</v>
      </c>
      <c r="AI240" s="100">
        <v>659764.41599999997</v>
      </c>
      <c r="AJ240" s="100">
        <f t="shared" si="39"/>
        <v>280149.13199999998</v>
      </c>
      <c r="AK240" s="100">
        <v>2509768.84</v>
      </c>
      <c r="AL240" s="99">
        <f t="shared" si="40"/>
        <v>1361206.5079999999</v>
      </c>
      <c r="AM240" s="100">
        <v>2917214.7168000001</v>
      </c>
      <c r="AN240" s="99">
        <f>AM240-W240</f>
        <v>0</v>
      </c>
    </row>
    <row r="241" spans="1:39" hidden="1" x14ac:dyDescent="0.25">
      <c r="A241" s="106" t="s">
        <v>259</v>
      </c>
      <c r="B241" s="79" t="s">
        <v>71</v>
      </c>
      <c r="C241" s="79" t="s">
        <v>193</v>
      </c>
      <c r="D241" s="79" t="s">
        <v>194</v>
      </c>
      <c r="E241" s="79" t="s">
        <v>195</v>
      </c>
      <c r="F241" s="79" t="s">
        <v>196</v>
      </c>
      <c r="G241" s="79" t="s">
        <v>76</v>
      </c>
      <c r="H241" s="79" t="s">
        <v>77</v>
      </c>
      <c r="I241" s="45" t="s">
        <v>78</v>
      </c>
      <c r="J241" s="52" t="s">
        <v>78</v>
      </c>
      <c r="K241" s="52" t="s">
        <v>3</v>
      </c>
      <c r="L241" s="79" t="s">
        <v>197</v>
      </c>
      <c r="M241" s="79"/>
      <c r="N241" s="52" t="s">
        <v>80</v>
      </c>
      <c r="O241" s="52" t="s">
        <v>81</v>
      </c>
      <c r="P241" s="109">
        <v>0</v>
      </c>
      <c r="S241" s="48">
        <v>2956.69</v>
      </c>
      <c r="U241" s="100">
        <v>0</v>
      </c>
      <c r="V241" s="100">
        <f t="shared" si="37"/>
        <v>2956.69</v>
      </c>
      <c r="W241" s="100">
        <f t="shared" ref="W241:W287" si="41">IF(O241="折扣",U241*P241,IF(O241="返现",U241,U241*(1+AG241)/(1+P241+AG241)))</f>
        <v>0</v>
      </c>
      <c r="X241" s="100"/>
      <c r="Y241" s="50">
        <f t="shared" si="32"/>
        <v>0</v>
      </c>
      <c r="Z241" s="50">
        <f t="shared" si="33"/>
        <v>0</v>
      </c>
      <c r="AA241" s="100">
        <f t="shared" si="38"/>
        <v>0</v>
      </c>
      <c r="AB241" s="100">
        <f t="shared" ref="AB241:AB287" si="42">U241</f>
        <v>0</v>
      </c>
      <c r="AC241" s="97">
        <v>0.05</v>
      </c>
      <c r="AG241" s="97">
        <v>0.42</v>
      </c>
      <c r="AH241" s="100">
        <f t="shared" ref="AH241:AH287" si="43">AK241/(1+AG241)</f>
        <v>0</v>
      </c>
      <c r="AI241" s="100"/>
      <c r="AJ241" s="100">
        <f t="shared" si="39"/>
        <v>0</v>
      </c>
      <c r="AK241" s="100">
        <v>0</v>
      </c>
      <c r="AL241" s="99">
        <f t="shared" si="40"/>
        <v>0</v>
      </c>
      <c r="AM241" s="99">
        <f t="shared" ref="AM241:AM287" si="44">IF(O241="折扣",AK241*P241,IF(O241="返现",AK241/(1+AG241),AK241/(1+P241+AG241)))</f>
        <v>0</v>
      </c>
    </row>
    <row r="242" spans="1:39" hidden="1" x14ac:dyDescent="0.25">
      <c r="A242" s="106" t="s">
        <v>259</v>
      </c>
      <c r="B242" s="79" t="s">
        <v>71</v>
      </c>
      <c r="C242" s="79" t="s">
        <v>100</v>
      </c>
      <c r="D242" s="79" t="s">
        <v>101</v>
      </c>
      <c r="E242" s="79" t="s">
        <v>112</v>
      </c>
      <c r="F242" s="79" t="s">
        <v>113</v>
      </c>
      <c r="G242" s="79" t="s">
        <v>76</v>
      </c>
      <c r="H242" s="79" t="s">
        <v>77</v>
      </c>
      <c r="I242" s="45" t="s">
        <v>78</v>
      </c>
      <c r="J242" s="52" t="s">
        <v>78</v>
      </c>
      <c r="K242" s="52" t="s">
        <v>3</v>
      </c>
      <c r="L242" s="79" t="s">
        <v>112</v>
      </c>
      <c r="M242" s="79"/>
      <c r="N242" s="52" t="s">
        <v>86</v>
      </c>
      <c r="O242" s="52" t="s">
        <v>81</v>
      </c>
      <c r="P242" s="109">
        <v>0</v>
      </c>
      <c r="S242" s="48">
        <v>68894</v>
      </c>
      <c r="U242" s="100">
        <v>0</v>
      </c>
      <c r="V242" s="100">
        <f t="shared" si="37"/>
        <v>68894</v>
      </c>
      <c r="W242" s="100">
        <f t="shared" si="41"/>
        <v>0</v>
      </c>
      <c r="X242" s="100"/>
      <c r="Y242" s="50">
        <f t="shared" si="32"/>
        <v>0</v>
      </c>
      <c r="Z242" s="50">
        <f t="shared" si="33"/>
        <v>0</v>
      </c>
      <c r="AA242" s="100">
        <f t="shared" si="38"/>
        <v>0</v>
      </c>
      <c r="AB242" s="100">
        <f t="shared" si="42"/>
        <v>0</v>
      </c>
      <c r="AC242" s="97">
        <v>0.05</v>
      </c>
      <c r="AG242" s="97">
        <v>0</v>
      </c>
      <c r="AH242" s="100">
        <f t="shared" si="43"/>
        <v>0</v>
      </c>
      <c r="AI242" s="100"/>
      <c r="AJ242" s="100">
        <f t="shared" si="39"/>
        <v>0</v>
      </c>
      <c r="AK242" s="100">
        <v>0</v>
      </c>
      <c r="AL242" s="99">
        <f t="shared" si="40"/>
        <v>0</v>
      </c>
      <c r="AM242" s="99">
        <f t="shared" si="44"/>
        <v>0</v>
      </c>
    </row>
    <row r="243" spans="1:39" hidden="1" x14ac:dyDescent="0.25">
      <c r="A243" s="106" t="s">
        <v>259</v>
      </c>
      <c r="B243" s="79" t="s">
        <v>71</v>
      </c>
      <c r="C243" s="79" t="s">
        <v>90</v>
      </c>
      <c r="D243" s="79" t="s">
        <v>105</v>
      </c>
      <c r="E243" s="79" t="s">
        <v>106</v>
      </c>
      <c r="F243" s="79" t="s">
        <v>107</v>
      </c>
      <c r="G243" s="79" t="s">
        <v>76</v>
      </c>
      <c r="H243" s="79" t="s">
        <v>77</v>
      </c>
      <c r="I243" s="45" t="s">
        <v>78</v>
      </c>
      <c r="J243" s="52" t="s">
        <v>78</v>
      </c>
      <c r="K243" s="52" t="s">
        <v>3</v>
      </c>
      <c r="L243" s="79" t="s">
        <v>106</v>
      </c>
      <c r="M243" s="79"/>
      <c r="N243" s="52" t="s">
        <v>80</v>
      </c>
      <c r="O243" s="52" t="s">
        <v>81</v>
      </c>
      <c r="P243" s="109">
        <v>0</v>
      </c>
      <c r="S243" s="48">
        <v>7741.65</v>
      </c>
      <c r="U243" s="100">
        <v>0</v>
      </c>
      <c r="V243" s="100">
        <f t="shared" si="37"/>
        <v>7741.65</v>
      </c>
      <c r="W243" s="100">
        <f t="shared" si="41"/>
        <v>0</v>
      </c>
      <c r="X243" s="100"/>
      <c r="Y243" s="50">
        <f t="shared" si="32"/>
        <v>0</v>
      </c>
      <c r="Z243" s="50">
        <f t="shared" si="33"/>
        <v>0</v>
      </c>
      <c r="AA243" s="100">
        <f t="shared" si="38"/>
        <v>0</v>
      </c>
      <c r="AB243" s="100">
        <f t="shared" si="42"/>
        <v>0</v>
      </c>
      <c r="AC243" s="97">
        <v>0.05</v>
      </c>
      <c r="AG243" s="97">
        <v>0.42</v>
      </c>
      <c r="AH243" s="100">
        <f t="shared" si="43"/>
        <v>0</v>
      </c>
      <c r="AI243" s="100"/>
      <c r="AJ243" s="100">
        <f t="shared" si="39"/>
        <v>0</v>
      </c>
      <c r="AK243" s="100">
        <v>0</v>
      </c>
      <c r="AL243" s="99">
        <f t="shared" si="40"/>
        <v>0</v>
      </c>
      <c r="AM243" s="99">
        <f t="shared" si="44"/>
        <v>0</v>
      </c>
    </row>
    <row r="244" spans="1:39" hidden="1" x14ac:dyDescent="0.25">
      <c r="A244" s="106" t="s">
        <v>259</v>
      </c>
      <c r="B244" s="79" t="s">
        <v>71</v>
      </c>
      <c r="C244" s="79" t="s">
        <v>90</v>
      </c>
      <c r="D244" s="79" t="s">
        <v>91</v>
      </c>
      <c r="E244" s="79" t="s">
        <v>92</v>
      </c>
      <c r="F244" s="79" t="s">
        <v>93</v>
      </c>
      <c r="G244" s="79" t="s">
        <v>76</v>
      </c>
      <c r="H244" s="79" t="s">
        <v>77</v>
      </c>
      <c r="I244" s="45" t="s">
        <v>78</v>
      </c>
      <c r="J244" s="52" t="s">
        <v>78</v>
      </c>
      <c r="K244" s="52" t="s">
        <v>3</v>
      </c>
      <c r="L244" s="79" t="s">
        <v>92</v>
      </c>
      <c r="M244" s="79"/>
      <c r="N244" s="52" t="s">
        <v>86</v>
      </c>
      <c r="O244" s="52" t="s">
        <v>81</v>
      </c>
      <c r="P244" s="109">
        <v>0</v>
      </c>
      <c r="S244" s="48">
        <v>7.0399999999990497</v>
      </c>
      <c r="U244" s="100">
        <v>0</v>
      </c>
      <c r="V244" s="100">
        <f t="shared" si="37"/>
        <v>7.0399999999990497</v>
      </c>
      <c r="W244" s="100">
        <f t="shared" si="41"/>
        <v>0</v>
      </c>
      <c r="X244" s="100"/>
      <c r="Y244" s="50">
        <f t="shared" si="32"/>
        <v>0</v>
      </c>
      <c r="Z244" s="50">
        <f t="shared" si="33"/>
        <v>0</v>
      </c>
      <c r="AA244" s="100">
        <f t="shared" si="38"/>
        <v>0</v>
      </c>
      <c r="AB244" s="100">
        <f t="shared" si="42"/>
        <v>0</v>
      </c>
      <c r="AC244" s="97">
        <v>0.05</v>
      </c>
      <c r="AG244" s="97">
        <v>0</v>
      </c>
      <c r="AH244" s="100">
        <f t="shared" si="43"/>
        <v>0</v>
      </c>
      <c r="AI244" s="100"/>
      <c r="AJ244" s="100">
        <f t="shared" si="39"/>
        <v>0</v>
      </c>
      <c r="AK244" s="100">
        <v>0</v>
      </c>
      <c r="AL244" s="99">
        <f t="shared" si="40"/>
        <v>0</v>
      </c>
      <c r="AM244" s="99">
        <f t="shared" si="44"/>
        <v>0</v>
      </c>
    </row>
    <row r="245" spans="1:39" hidden="1" x14ac:dyDescent="0.25">
      <c r="A245" s="106" t="s">
        <v>259</v>
      </c>
      <c r="B245" s="79" t="s">
        <v>71</v>
      </c>
      <c r="C245" s="79" t="s">
        <v>90</v>
      </c>
      <c r="D245" s="79" t="s">
        <v>91</v>
      </c>
      <c r="E245" s="79" t="s">
        <v>103</v>
      </c>
      <c r="F245" s="79" t="s">
        <v>104</v>
      </c>
      <c r="G245" s="79" t="s">
        <v>76</v>
      </c>
      <c r="H245" s="79" t="s">
        <v>77</v>
      </c>
      <c r="I245" s="45" t="s">
        <v>78</v>
      </c>
      <c r="J245" s="52" t="s">
        <v>78</v>
      </c>
      <c r="K245" s="52" t="s">
        <v>3</v>
      </c>
      <c r="L245" s="79" t="s">
        <v>103</v>
      </c>
      <c r="M245" s="79"/>
      <c r="N245" s="52" t="s">
        <v>86</v>
      </c>
      <c r="O245" s="52" t="s">
        <v>94</v>
      </c>
      <c r="P245" s="109">
        <v>0.02</v>
      </c>
      <c r="S245" s="48">
        <v>106099.63</v>
      </c>
      <c r="U245" s="100">
        <v>0</v>
      </c>
      <c r="V245" s="100">
        <f t="shared" si="37"/>
        <v>106099.63</v>
      </c>
      <c r="W245" s="100">
        <f t="shared" si="41"/>
        <v>0</v>
      </c>
      <c r="X245" s="100"/>
      <c r="Y245" s="50">
        <f t="shared" si="32"/>
        <v>0</v>
      </c>
      <c r="Z245" s="50">
        <f t="shared" si="33"/>
        <v>0</v>
      </c>
      <c r="AA245" s="100">
        <f t="shared" si="38"/>
        <v>0</v>
      </c>
      <c r="AB245" s="100">
        <f t="shared" si="42"/>
        <v>0</v>
      </c>
      <c r="AC245" s="97">
        <v>0.05</v>
      </c>
      <c r="AG245" s="97">
        <v>0.42</v>
      </c>
      <c r="AH245" s="100">
        <f t="shared" si="43"/>
        <v>0</v>
      </c>
      <c r="AI245" s="100"/>
      <c r="AJ245" s="100">
        <f t="shared" si="39"/>
        <v>0</v>
      </c>
      <c r="AK245" s="100">
        <v>0</v>
      </c>
      <c r="AL245" s="99">
        <f t="shared" si="40"/>
        <v>0</v>
      </c>
      <c r="AM245" s="99">
        <f t="shared" si="44"/>
        <v>0</v>
      </c>
    </row>
    <row r="246" spans="1:39" hidden="1" x14ac:dyDescent="0.25">
      <c r="A246" s="106" t="s">
        <v>259</v>
      </c>
      <c r="B246" s="79" t="s">
        <v>71</v>
      </c>
      <c r="C246" s="79" t="s">
        <v>72</v>
      </c>
      <c r="D246" s="79" t="s">
        <v>122</v>
      </c>
      <c r="E246" s="79" t="s">
        <v>123</v>
      </c>
      <c r="F246" s="79" t="s">
        <v>124</v>
      </c>
      <c r="G246" s="79" t="s">
        <v>76</v>
      </c>
      <c r="H246" s="79" t="s">
        <v>77</v>
      </c>
      <c r="I246" s="45" t="s">
        <v>78</v>
      </c>
      <c r="J246" s="52" t="s">
        <v>78</v>
      </c>
      <c r="K246" s="52" t="s">
        <v>3</v>
      </c>
      <c r="L246" s="79" t="s">
        <v>125</v>
      </c>
      <c r="M246" s="79"/>
      <c r="N246" s="52" t="s">
        <v>126</v>
      </c>
      <c r="O246" s="52" t="s">
        <v>94</v>
      </c>
      <c r="P246" s="109">
        <v>0.18</v>
      </c>
      <c r="S246" s="48">
        <v>131941.95000000001</v>
      </c>
      <c r="U246" s="100">
        <v>0</v>
      </c>
      <c r="V246" s="100">
        <f t="shared" si="37"/>
        <v>131941.95000000001</v>
      </c>
      <c r="W246" s="100">
        <f t="shared" si="41"/>
        <v>0</v>
      </c>
      <c r="X246" s="100"/>
      <c r="Y246" s="50">
        <f t="shared" si="32"/>
        <v>0</v>
      </c>
      <c r="Z246" s="50">
        <f t="shared" si="33"/>
        <v>0</v>
      </c>
      <c r="AA246" s="100">
        <f t="shared" si="38"/>
        <v>0</v>
      </c>
      <c r="AB246" s="100">
        <f t="shared" si="42"/>
        <v>0</v>
      </c>
      <c r="AC246" s="97">
        <v>0.05</v>
      </c>
      <c r="AG246" s="46">
        <v>0.42</v>
      </c>
      <c r="AH246" s="100">
        <f t="shared" si="43"/>
        <v>0</v>
      </c>
      <c r="AI246" s="100"/>
      <c r="AJ246" s="100">
        <f t="shared" si="39"/>
        <v>0</v>
      </c>
      <c r="AK246" s="100">
        <v>0</v>
      </c>
      <c r="AL246" s="99">
        <f t="shared" si="40"/>
        <v>0</v>
      </c>
      <c r="AM246" s="99">
        <f t="shared" si="44"/>
        <v>0</v>
      </c>
    </row>
    <row r="247" spans="1:39" hidden="1" x14ac:dyDescent="0.25">
      <c r="A247" s="106" t="s">
        <v>259</v>
      </c>
      <c r="B247" s="79" t="s">
        <v>71</v>
      </c>
      <c r="C247" s="79" t="s">
        <v>72</v>
      </c>
      <c r="D247" s="79" t="s">
        <v>73</v>
      </c>
      <c r="E247" s="79" t="s">
        <v>74</v>
      </c>
      <c r="F247" s="79" t="s">
        <v>75</v>
      </c>
      <c r="G247" s="79" t="s">
        <v>76</v>
      </c>
      <c r="H247" s="79" t="s">
        <v>77</v>
      </c>
      <c r="I247" s="45" t="s">
        <v>78</v>
      </c>
      <c r="J247" s="52" t="s">
        <v>78</v>
      </c>
      <c r="K247" s="52" t="s">
        <v>3</v>
      </c>
      <c r="L247" s="79" t="s">
        <v>74</v>
      </c>
      <c r="M247" s="79"/>
      <c r="N247" s="52" t="s">
        <v>86</v>
      </c>
      <c r="O247" s="52" t="s">
        <v>94</v>
      </c>
      <c r="P247" s="109">
        <v>0.03</v>
      </c>
      <c r="S247" s="48">
        <v>15899.0800000003</v>
      </c>
      <c r="U247" s="100">
        <v>0</v>
      </c>
      <c r="V247" s="100">
        <f t="shared" si="37"/>
        <v>15899.0800000003</v>
      </c>
      <c r="W247" s="100">
        <f t="shared" si="41"/>
        <v>0</v>
      </c>
      <c r="X247" s="100"/>
      <c r="Y247" s="50">
        <f t="shared" si="32"/>
        <v>0</v>
      </c>
      <c r="Z247" s="50">
        <f t="shared" si="33"/>
        <v>0</v>
      </c>
      <c r="AA247" s="100">
        <f t="shared" si="38"/>
        <v>0</v>
      </c>
      <c r="AB247" s="100">
        <f t="shared" si="42"/>
        <v>0</v>
      </c>
      <c r="AC247" s="97">
        <v>0.05</v>
      </c>
      <c r="AG247" s="97">
        <v>7.0000000000000007E-2</v>
      </c>
      <c r="AH247" s="100">
        <f t="shared" si="43"/>
        <v>0</v>
      </c>
      <c r="AI247" s="100"/>
      <c r="AJ247" s="100">
        <f t="shared" si="39"/>
        <v>0</v>
      </c>
      <c r="AK247" s="100">
        <v>0</v>
      </c>
      <c r="AL247" s="99">
        <f t="shared" si="40"/>
        <v>0</v>
      </c>
      <c r="AM247" s="99">
        <f t="shared" si="44"/>
        <v>0</v>
      </c>
    </row>
    <row r="248" spans="1:39" hidden="1" x14ac:dyDescent="0.25">
      <c r="A248" s="106" t="s">
        <v>259</v>
      </c>
      <c r="B248" s="79" t="s">
        <v>71</v>
      </c>
      <c r="C248" s="79" t="s">
        <v>72</v>
      </c>
      <c r="D248" s="79" t="s">
        <v>73</v>
      </c>
      <c r="E248" s="79" t="s">
        <v>74</v>
      </c>
      <c r="F248" s="79" t="s">
        <v>75</v>
      </c>
      <c r="G248" s="79" t="s">
        <v>76</v>
      </c>
      <c r="H248" s="79" t="s">
        <v>77</v>
      </c>
      <c r="I248" s="45" t="s">
        <v>78</v>
      </c>
      <c r="J248" s="52" t="s">
        <v>78</v>
      </c>
      <c r="K248" s="52" t="s">
        <v>3</v>
      </c>
      <c r="L248" s="79" t="s">
        <v>74</v>
      </c>
      <c r="M248" s="79"/>
      <c r="N248" s="52" t="s">
        <v>80</v>
      </c>
      <c r="O248" s="52" t="s">
        <v>94</v>
      </c>
      <c r="P248" s="109">
        <v>0.03</v>
      </c>
      <c r="S248" s="48">
        <v>2383.1799999999998</v>
      </c>
      <c r="U248" s="100">
        <v>0</v>
      </c>
      <c r="V248" s="100">
        <f t="shared" si="37"/>
        <v>2383.1799999999998</v>
      </c>
      <c r="W248" s="100">
        <f t="shared" si="41"/>
        <v>0</v>
      </c>
      <c r="X248" s="100"/>
      <c r="Y248" s="50">
        <f t="shared" si="32"/>
        <v>0</v>
      </c>
      <c r="Z248" s="50">
        <f t="shared" si="33"/>
        <v>0</v>
      </c>
      <c r="AA248" s="100">
        <f t="shared" si="38"/>
        <v>0</v>
      </c>
      <c r="AB248" s="100">
        <f t="shared" si="42"/>
        <v>0</v>
      </c>
      <c r="AC248" s="97">
        <v>0.05</v>
      </c>
      <c r="AG248" s="97">
        <v>7.0000000000000007E-2</v>
      </c>
      <c r="AH248" s="100">
        <f t="shared" si="43"/>
        <v>0</v>
      </c>
      <c r="AI248" s="100"/>
      <c r="AJ248" s="100">
        <f t="shared" si="39"/>
        <v>0</v>
      </c>
      <c r="AK248" s="100">
        <v>0</v>
      </c>
      <c r="AL248" s="99">
        <f t="shared" si="40"/>
        <v>0</v>
      </c>
      <c r="AM248" s="99">
        <f t="shared" si="44"/>
        <v>0</v>
      </c>
    </row>
    <row r="249" spans="1:39" hidden="1" x14ac:dyDescent="0.25">
      <c r="A249" s="106" t="s">
        <v>259</v>
      </c>
      <c r="B249" s="79" t="s">
        <v>71</v>
      </c>
      <c r="C249" s="79" t="s">
        <v>82</v>
      </c>
      <c r="D249" s="79" t="s">
        <v>117</v>
      </c>
      <c r="E249" s="79" t="s">
        <v>118</v>
      </c>
      <c r="F249" s="79" t="s">
        <v>119</v>
      </c>
      <c r="G249" s="79" t="s">
        <v>76</v>
      </c>
      <c r="H249" s="79" t="s">
        <v>77</v>
      </c>
      <c r="I249" s="45" t="s">
        <v>78</v>
      </c>
      <c r="J249" s="52" t="s">
        <v>78</v>
      </c>
      <c r="K249" s="52" t="s">
        <v>3</v>
      </c>
      <c r="L249" s="79" t="s">
        <v>120</v>
      </c>
      <c r="M249" s="79"/>
      <c r="N249" s="52" t="s">
        <v>80</v>
      </c>
      <c r="O249" s="52" t="s">
        <v>94</v>
      </c>
      <c r="P249" s="109">
        <v>0.05</v>
      </c>
      <c r="S249" s="48">
        <v>1766.24</v>
      </c>
      <c r="U249" s="100">
        <v>0</v>
      </c>
      <c r="V249" s="100">
        <f t="shared" si="37"/>
        <v>1766.24</v>
      </c>
      <c r="W249" s="100">
        <f t="shared" si="41"/>
        <v>0</v>
      </c>
      <c r="X249" s="100"/>
      <c r="Y249" s="50">
        <f t="shared" si="32"/>
        <v>0</v>
      </c>
      <c r="Z249" s="50">
        <f t="shared" si="33"/>
        <v>0</v>
      </c>
      <c r="AA249" s="100">
        <f t="shared" si="38"/>
        <v>0</v>
      </c>
      <c r="AB249" s="100">
        <f t="shared" si="42"/>
        <v>0</v>
      </c>
      <c r="AC249" s="97">
        <v>0.05</v>
      </c>
      <c r="AG249" s="97">
        <v>0.42</v>
      </c>
      <c r="AH249" s="100">
        <f t="shared" si="43"/>
        <v>0</v>
      </c>
      <c r="AI249" s="100"/>
      <c r="AJ249" s="100">
        <f t="shared" si="39"/>
        <v>0</v>
      </c>
      <c r="AK249" s="100">
        <v>0</v>
      </c>
      <c r="AL249" s="99">
        <f t="shared" si="40"/>
        <v>0</v>
      </c>
      <c r="AM249" s="99">
        <f t="shared" si="44"/>
        <v>0</v>
      </c>
    </row>
    <row r="250" spans="1:39" hidden="1" x14ac:dyDescent="0.25">
      <c r="A250" s="106" t="s">
        <v>259</v>
      </c>
      <c r="B250" s="79" t="s">
        <v>71</v>
      </c>
      <c r="C250" s="79" t="s">
        <v>127</v>
      </c>
      <c r="D250" s="79" t="s">
        <v>128</v>
      </c>
      <c r="E250" s="79" t="s">
        <v>129</v>
      </c>
      <c r="F250" s="79" t="s">
        <v>130</v>
      </c>
      <c r="G250" s="79" t="s">
        <v>76</v>
      </c>
      <c r="H250" s="79" t="s">
        <v>77</v>
      </c>
      <c r="I250" s="45" t="s">
        <v>78</v>
      </c>
      <c r="J250" s="52" t="s">
        <v>78</v>
      </c>
      <c r="K250" s="52" t="s">
        <v>3</v>
      </c>
      <c r="L250" s="79" t="s">
        <v>125</v>
      </c>
      <c r="M250" s="79"/>
      <c r="N250" s="52" t="s">
        <v>126</v>
      </c>
      <c r="O250" s="52" t="s">
        <v>94</v>
      </c>
      <c r="P250" s="109">
        <v>0.18</v>
      </c>
      <c r="S250" s="48">
        <v>8102.9149295775096</v>
      </c>
      <c r="U250" s="100">
        <v>0</v>
      </c>
      <c r="V250" s="100">
        <f t="shared" si="37"/>
        <v>8102.9149295775096</v>
      </c>
      <c r="W250" s="100">
        <f t="shared" si="41"/>
        <v>0</v>
      </c>
      <c r="X250" s="100"/>
      <c r="Y250" s="50">
        <f t="shared" si="32"/>
        <v>0</v>
      </c>
      <c r="Z250" s="50">
        <f t="shared" si="33"/>
        <v>0</v>
      </c>
      <c r="AA250" s="100">
        <f t="shared" si="38"/>
        <v>0</v>
      </c>
      <c r="AB250" s="100">
        <f t="shared" si="42"/>
        <v>0</v>
      </c>
      <c r="AC250" s="97">
        <v>0.05</v>
      </c>
      <c r="AG250" s="97">
        <v>0.42</v>
      </c>
      <c r="AH250" s="100">
        <f t="shared" si="43"/>
        <v>0</v>
      </c>
      <c r="AI250" s="100"/>
      <c r="AJ250" s="100">
        <f t="shared" si="39"/>
        <v>0</v>
      </c>
      <c r="AK250" s="100">
        <v>0</v>
      </c>
      <c r="AL250" s="99">
        <f t="shared" si="40"/>
        <v>0</v>
      </c>
      <c r="AM250" s="99">
        <f t="shared" si="44"/>
        <v>0</v>
      </c>
    </row>
    <row r="251" spans="1:39" hidden="1" x14ac:dyDescent="0.25">
      <c r="A251" s="106" t="s">
        <v>259</v>
      </c>
      <c r="B251" s="79" t="s">
        <v>71</v>
      </c>
      <c r="C251" s="79" t="s">
        <v>127</v>
      </c>
      <c r="D251" s="79" t="s">
        <v>128</v>
      </c>
      <c r="E251" s="79" t="s">
        <v>151</v>
      </c>
      <c r="F251" s="79" t="s">
        <v>152</v>
      </c>
      <c r="G251" s="79" t="s">
        <v>76</v>
      </c>
      <c r="H251" s="79" t="s">
        <v>77</v>
      </c>
      <c r="I251" s="45" t="s">
        <v>78</v>
      </c>
      <c r="J251" s="52" t="s">
        <v>78</v>
      </c>
      <c r="K251" s="52" t="s">
        <v>3</v>
      </c>
      <c r="L251" s="79" t="s">
        <v>125</v>
      </c>
      <c r="M251" s="79"/>
      <c r="N251" s="52" t="s">
        <v>126</v>
      </c>
      <c r="O251" s="52" t="s">
        <v>94</v>
      </c>
      <c r="P251" s="46">
        <v>0.23</v>
      </c>
      <c r="S251" s="48">
        <v>2063.5353521120301</v>
      </c>
      <c r="U251" s="100">
        <v>0</v>
      </c>
      <c r="V251" s="100">
        <f t="shared" si="37"/>
        <v>2063.5353521120301</v>
      </c>
      <c r="W251" s="100">
        <f t="shared" si="41"/>
        <v>0</v>
      </c>
      <c r="X251" s="100"/>
      <c r="Y251" s="50">
        <f t="shared" si="32"/>
        <v>0</v>
      </c>
      <c r="Z251" s="50">
        <f t="shared" si="33"/>
        <v>0</v>
      </c>
      <c r="AA251" s="100">
        <f t="shared" si="38"/>
        <v>0</v>
      </c>
      <c r="AB251" s="100">
        <f t="shared" si="42"/>
        <v>0</v>
      </c>
      <c r="AC251" s="97">
        <v>0.05</v>
      </c>
      <c r="AG251" s="97">
        <v>0.42</v>
      </c>
      <c r="AH251" s="100">
        <f t="shared" si="43"/>
        <v>0</v>
      </c>
      <c r="AI251" s="100"/>
      <c r="AJ251" s="100">
        <f t="shared" si="39"/>
        <v>0</v>
      </c>
      <c r="AK251" s="100">
        <v>0</v>
      </c>
      <c r="AL251" s="99">
        <f t="shared" si="40"/>
        <v>0</v>
      </c>
      <c r="AM251" s="99">
        <f t="shared" si="44"/>
        <v>0</v>
      </c>
    </row>
    <row r="252" spans="1:39" hidden="1" x14ac:dyDescent="0.25">
      <c r="A252" s="106" t="s">
        <v>259</v>
      </c>
      <c r="B252" s="79" t="s">
        <v>71</v>
      </c>
      <c r="C252" s="79" t="s">
        <v>127</v>
      </c>
      <c r="D252" s="79" t="s">
        <v>128</v>
      </c>
      <c r="E252" s="79" t="s">
        <v>131</v>
      </c>
      <c r="F252" s="79" t="s">
        <v>132</v>
      </c>
      <c r="G252" s="79" t="s">
        <v>76</v>
      </c>
      <c r="H252" s="79" t="s">
        <v>77</v>
      </c>
      <c r="I252" s="45" t="s">
        <v>78</v>
      </c>
      <c r="J252" s="52" t="s">
        <v>78</v>
      </c>
      <c r="K252" s="52" t="s">
        <v>3</v>
      </c>
      <c r="L252" s="79" t="s">
        <v>125</v>
      </c>
      <c r="M252" s="79"/>
      <c r="N252" s="52" t="s">
        <v>126</v>
      </c>
      <c r="O252" s="52" t="s">
        <v>94</v>
      </c>
      <c r="P252" s="109">
        <v>0.03</v>
      </c>
      <c r="S252" s="48">
        <v>655.37999999978604</v>
      </c>
      <c r="U252" s="100">
        <v>0</v>
      </c>
      <c r="V252" s="100">
        <f t="shared" si="37"/>
        <v>655.37999999978604</v>
      </c>
      <c r="W252" s="100">
        <f t="shared" si="41"/>
        <v>0</v>
      </c>
      <c r="X252" s="100"/>
      <c r="Y252" s="50">
        <f t="shared" si="32"/>
        <v>0</v>
      </c>
      <c r="Z252" s="50">
        <f t="shared" si="33"/>
        <v>0</v>
      </c>
      <c r="AA252" s="100">
        <f t="shared" si="38"/>
        <v>0</v>
      </c>
      <c r="AB252" s="100">
        <f t="shared" si="42"/>
        <v>0</v>
      </c>
      <c r="AC252" s="97">
        <v>0.05</v>
      </c>
      <c r="AG252" s="97">
        <v>0.42</v>
      </c>
      <c r="AH252" s="100">
        <f t="shared" si="43"/>
        <v>0</v>
      </c>
      <c r="AI252" s="100"/>
      <c r="AJ252" s="100">
        <f t="shared" si="39"/>
        <v>0</v>
      </c>
      <c r="AK252" s="100">
        <v>0</v>
      </c>
      <c r="AL252" s="99">
        <f t="shared" si="40"/>
        <v>0</v>
      </c>
      <c r="AM252" s="99">
        <f t="shared" si="44"/>
        <v>0</v>
      </c>
    </row>
    <row r="253" spans="1:39" hidden="1" x14ac:dyDescent="0.25">
      <c r="A253" s="106" t="s">
        <v>259</v>
      </c>
      <c r="B253" s="79" t="s">
        <v>71</v>
      </c>
      <c r="C253" s="79" t="s">
        <v>127</v>
      </c>
      <c r="D253" s="79" t="s">
        <v>128</v>
      </c>
      <c r="E253" s="79" t="s">
        <v>133</v>
      </c>
      <c r="F253" s="79" t="s">
        <v>134</v>
      </c>
      <c r="G253" s="79" t="s">
        <v>76</v>
      </c>
      <c r="H253" s="79" t="s">
        <v>77</v>
      </c>
      <c r="I253" s="45" t="s">
        <v>78</v>
      </c>
      <c r="J253" s="52" t="s">
        <v>78</v>
      </c>
      <c r="K253" s="52" t="s">
        <v>3</v>
      </c>
      <c r="L253" s="79" t="s">
        <v>125</v>
      </c>
      <c r="M253" s="79"/>
      <c r="N253" s="52" t="s">
        <v>126</v>
      </c>
      <c r="O253" s="52" t="s">
        <v>94</v>
      </c>
      <c r="P253" s="109">
        <v>0.22</v>
      </c>
      <c r="S253" s="48">
        <v>354.84000000002601</v>
      </c>
      <c r="U253" s="100">
        <v>0</v>
      </c>
      <c r="V253" s="100">
        <f t="shared" si="37"/>
        <v>354.84000000002601</v>
      </c>
      <c r="W253" s="100">
        <f t="shared" si="41"/>
        <v>0</v>
      </c>
      <c r="X253" s="100"/>
      <c r="Y253" s="50">
        <f t="shared" si="32"/>
        <v>0</v>
      </c>
      <c r="Z253" s="50">
        <f t="shared" si="33"/>
        <v>0</v>
      </c>
      <c r="AA253" s="100">
        <f t="shared" si="38"/>
        <v>0</v>
      </c>
      <c r="AB253" s="100">
        <f t="shared" si="42"/>
        <v>0</v>
      </c>
      <c r="AC253" s="97">
        <v>0.05</v>
      </c>
      <c r="AG253" s="97">
        <v>0.42</v>
      </c>
      <c r="AH253" s="100">
        <f t="shared" si="43"/>
        <v>0</v>
      </c>
      <c r="AI253" s="100"/>
      <c r="AJ253" s="100">
        <f t="shared" si="39"/>
        <v>0</v>
      </c>
      <c r="AK253" s="100">
        <v>0</v>
      </c>
      <c r="AL253" s="99">
        <f t="shared" si="40"/>
        <v>0</v>
      </c>
      <c r="AM253" s="99">
        <f t="shared" si="44"/>
        <v>0</v>
      </c>
    </row>
    <row r="254" spans="1:39" hidden="1" x14ac:dyDescent="0.25">
      <c r="A254" s="106" t="s">
        <v>259</v>
      </c>
      <c r="B254" s="79" t="s">
        <v>71</v>
      </c>
      <c r="C254" s="79" t="s">
        <v>127</v>
      </c>
      <c r="D254" s="79" t="s">
        <v>128</v>
      </c>
      <c r="E254" s="79" t="s">
        <v>135</v>
      </c>
      <c r="F254" s="79" t="s">
        <v>136</v>
      </c>
      <c r="G254" s="79" t="s">
        <v>76</v>
      </c>
      <c r="H254" s="79" t="s">
        <v>77</v>
      </c>
      <c r="I254" s="45" t="s">
        <v>78</v>
      </c>
      <c r="J254" s="52" t="s">
        <v>78</v>
      </c>
      <c r="K254" s="52" t="s">
        <v>3</v>
      </c>
      <c r="L254" s="79" t="s">
        <v>125</v>
      </c>
      <c r="M254" s="79"/>
      <c r="N254" s="52" t="s">
        <v>126</v>
      </c>
      <c r="O254" s="52" t="s">
        <v>94</v>
      </c>
      <c r="P254" s="109">
        <v>0.08</v>
      </c>
      <c r="S254" s="100">
        <v>0</v>
      </c>
      <c r="U254" s="100">
        <v>0</v>
      </c>
      <c r="V254" s="100">
        <f t="shared" si="37"/>
        <v>0</v>
      </c>
      <c r="W254" s="100">
        <f t="shared" si="41"/>
        <v>0</v>
      </c>
      <c r="X254" s="100"/>
      <c r="Y254" s="50">
        <f t="shared" si="32"/>
        <v>0</v>
      </c>
      <c r="Z254" s="50">
        <f t="shared" si="33"/>
        <v>0</v>
      </c>
      <c r="AA254" s="100">
        <f t="shared" si="38"/>
        <v>0</v>
      </c>
      <c r="AB254" s="100">
        <f t="shared" si="42"/>
        <v>0</v>
      </c>
      <c r="AC254" s="97">
        <v>0.05</v>
      </c>
      <c r="AG254" s="97">
        <v>0.42</v>
      </c>
      <c r="AH254" s="100">
        <f t="shared" si="43"/>
        <v>0</v>
      </c>
      <c r="AI254" s="100"/>
      <c r="AJ254" s="100">
        <f t="shared" si="39"/>
        <v>0</v>
      </c>
      <c r="AK254" s="100">
        <v>0</v>
      </c>
      <c r="AL254" s="99">
        <f t="shared" si="40"/>
        <v>0</v>
      </c>
      <c r="AM254" s="99">
        <f t="shared" si="44"/>
        <v>0</v>
      </c>
    </row>
    <row r="255" spans="1:39" hidden="1" x14ac:dyDescent="0.25">
      <c r="A255" s="106" t="s">
        <v>259</v>
      </c>
      <c r="B255" s="79" t="s">
        <v>71</v>
      </c>
      <c r="C255" s="79" t="s">
        <v>127</v>
      </c>
      <c r="D255" s="79" t="s">
        <v>128</v>
      </c>
      <c r="E255" s="79" t="s">
        <v>138</v>
      </c>
      <c r="F255" s="79" t="s">
        <v>139</v>
      </c>
      <c r="G255" s="79" t="s">
        <v>76</v>
      </c>
      <c r="H255" s="79" t="s">
        <v>77</v>
      </c>
      <c r="I255" s="45" t="s">
        <v>78</v>
      </c>
      <c r="J255" s="52" t="s">
        <v>78</v>
      </c>
      <c r="K255" s="52" t="s">
        <v>3</v>
      </c>
      <c r="L255" s="79" t="s">
        <v>125</v>
      </c>
      <c r="M255" s="79"/>
      <c r="N255" s="52" t="s">
        <v>126</v>
      </c>
      <c r="O255" s="52" t="s">
        <v>94</v>
      </c>
      <c r="P255" s="109">
        <v>0.04</v>
      </c>
      <c r="S255" s="100">
        <v>227.30774647876399</v>
      </c>
      <c r="U255" s="100">
        <v>0</v>
      </c>
      <c r="V255" s="100">
        <f t="shared" si="37"/>
        <v>227.30774647876399</v>
      </c>
      <c r="W255" s="100">
        <f t="shared" si="41"/>
        <v>0</v>
      </c>
      <c r="X255" s="100"/>
      <c r="Y255" s="50">
        <f t="shared" si="32"/>
        <v>0</v>
      </c>
      <c r="Z255" s="50">
        <f t="shared" si="33"/>
        <v>0</v>
      </c>
      <c r="AA255" s="100">
        <f t="shared" si="38"/>
        <v>0</v>
      </c>
      <c r="AB255" s="100">
        <f t="shared" si="42"/>
        <v>0</v>
      </c>
      <c r="AC255" s="97">
        <v>0.05</v>
      </c>
      <c r="AG255" s="97">
        <v>0.42</v>
      </c>
      <c r="AH255" s="100">
        <f t="shared" si="43"/>
        <v>0</v>
      </c>
      <c r="AI255" s="100"/>
      <c r="AJ255" s="100">
        <f t="shared" si="39"/>
        <v>0</v>
      </c>
      <c r="AK255" s="100">
        <v>0</v>
      </c>
      <c r="AL255" s="99">
        <f t="shared" si="40"/>
        <v>0</v>
      </c>
      <c r="AM255" s="99">
        <f t="shared" si="44"/>
        <v>0</v>
      </c>
    </row>
    <row r="256" spans="1:39" hidden="1" x14ac:dyDescent="0.25">
      <c r="A256" s="106" t="s">
        <v>259</v>
      </c>
      <c r="B256" s="79" t="s">
        <v>71</v>
      </c>
      <c r="C256" s="79" t="s">
        <v>127</v>
      </c>
      <c r="D256" s="79" t="s">
        <v>128</v>
      </c>
      <c r="E256" s="79" t="s">
        <v>123</v>
      </c>
      <c r="F256" s="79" t="s">
        <v>140</v>
      </c>
      <c r="G256" s="79" t="s">
        <v>76</v>
      </c>
      <c r="H256" s="79" t="s">
        <v>77</v>
      </c>
      <c r="I256" s="45" t="s">
        <v>78</v>
      </c>
      <c r="J256" s="52" t="s">
        <v>78</v>
      </c>
      <c r="K256" s="52" t="s">
        <v>3</v>
      </c>
      <c r="L256" s="79" t="s">
        <v>125</v>
      </c>
      <c r="M256" s="79"/>
      <c r="N256" s="52" t="s">
        <v>126</v>
      </c>
      <c r="O256" s="52" t="s">
        <v>94</v>
      </c>
      <c r="P256" s="109">
        <v>0.23</v>
      </c>
      <c r="S256" s="100">
        <v>152.264929577999</v>
      </c>
      <c r="U256" s="100">
        <v>0</v>
      </c>
      <c r="V256" s="100">
        <f t="shared" si="37"/>
        <v>152.264929577999</v>
      </c>
      <c r="W256" s="100">
        <f t="shared" si="41"/>
        <v>0</v>
      </c>
      <c r="X256" s="100"/>
      <c r="Y256" s="50">
        <f t="shared" si="32"/>
        <v>0</v>
      </c>
      <c r="Z256" s="50">
        <f t="shared" si="33"/>
        <v>0</v>
      </c>
      <c r="AA256" s="100">
        <f t="shared" si="38"/>
        <v>0</v>
      </c>
      <c r="AB256" s="100">
        <f t="shared" si="42"/>
        <v>0</v>
      </c>
      <c r="AC256" s="97">
        <v>0.05</v>
      </c>
      <c r="AG256" s="97">
        <v>0.42</v>
      </c>
      <c r="AH256" s="100">
        <f t="shared" si="43"/>
        <v>0</v>
      </c>
      <c r="AI256" s="100"/>
      <c r="AJ256" s="100">
        <f t="shared" si="39"/>
        <v>0</v>
      </c>
      <c r="AK256" s="100">
        <v>0</v>
      </c>
      <c r="AL256" s="99">
        <f t="shared" si="40"/>
        <v>0</v>
      </c>
      <c r="AM256" s="99">
        <f t="shared" si="44"/>
        <v>0</v>
      </c>
    </row>
    <row r="257" spans="1:40" hidden="1" x14ac:dyDescent="0.25">
      <c r="A257" s="106" t="s">
        <v>259</v>
      </c>
      <c r="B257" s="79" t="s">
        <v>71</v>
      </c>
      <c r="C257" s="79" t="s">
        <v>127</v>
      </c>
      <c r="D257" s="79" t="s">
        <v>128</v>
      </c>
      <c r="E257" s="79" t="s">
        <v>141</v>
      </c>
      <c r="F257" s="79" t="s">
        <v>142</v>
      </c>
      <c r="G257" s="79" t="s">
        <v>76</v>
      </c>
      <c r="H257" s="79" t="s">
        <v>77</v>
      </c>
      <c r="I257" s="45" t="s">
        <v>78</v>
      </c>
      <c r="J257" s="52" t="s">
        <v>78</v>
      </c>
      <c r="K257" s="52" t="s">
        <v>3</v>
      </c>
      <c r="L257" s="79" t="s">
        <v>125</v>
      </c>
      <c r="M257" s="79"/>
      <c r="N257" s="52" t="s">
        <v>126</v>
      </c>
      <c r="O257" s="52" t="s">
        <v>94</v>
      </c>
      <c r="P257" s="109">
        <v>0.13</v>
      </c>
      <c r="S257" s="48">
        <v>-30329.470000000099</v>
      </c>
      <c r="U257" s="100">
        <v>0</v>
      </c>
      <c r="V257" s="100">
        <f t="shared" si="37"/>
        <v>-30329.470000000099</v>
      </c>
      <c r="W257" s="100">
        <f t="shared" si="41"/>
        <v>0</v>
      </c>
      <c r="X257" s="100"/>
      <c r="Y257" s="50">
        <f t="shared" si="32"/>
        <v>0</v>
      </c>
      <c r="Z257" s="50">
        <f t="shared" si="33"/>
        <v>0</v>
      </c>
      <c r="AA257" s="100">
        <f t="shared" si="38"/>
        <v>0</v>
      </c>
      <c r="AB257" s="100">
        <f t="shared" si="42"/>
        <v>0</v>
      </c>
      <c r="AC257" s="97">
        <v>0.05</v>
      </c>
      <c r="AG257" s="97">
        <v>0.42</v>
      </c>
      <c r="AH257" s="100">
        <f t="shared" si="43"/>
        <v>0</v>
      </c>
      <c r="AI257" s="100"/>
      <c r="AJ257" s="100">
        <f t="shared" si="39"/>
        <v>0</v>
      </c>
      <c r="AK257" s="100">
        <v>0</v>
      </c>
      <c r="AL257" s="99">
        <f t="shared" si="40"/>
        <v>0</v>
      </c>
      <c r="AM257" s="99">
        <f t="shared" si="44"/>
        <v>0</v>
      </c>
    </row>
    <row r="258" spans="1:40" hidden="1" x14ac:dyDescent="0.25">
      <c r="A258" s="106" t="s">
        <v>259</v>
      </c>
      <c r="B258" s="79" t="s">
        <v>71</v>
      </c>
      <c r="C258" s="79" t="s">
        <v>127</v>
      </c>
      <c r="D258" s="79" t="s">
        <v>128</v>
      </c>
      <c r="E258" s="79" t="s">
        <v>143</v>
      </c>
      <c r="F258" s="79" t="s">
        <v>144</v>
      </c>
      <c r="G258" s="79" t="s">
        <v>76</v>
      </c>
      <c r="H258" s="79" t="s">
        <v>77</v>
      </c>
      <c r="I258" s="45" t="s">
        <v>78</v>
      </c>
      <c r="J258" s="52" t="s">
        <v>78</v>
      </c>
      <c r="K258" s="52" t="s">
        <v>3</v>
      </c>
      <c r="L258" s="79" t="s">
        <v>125</v>
      </c>
      <c r="M258" s="79"/>
      <c r="N258" s="52" t="s">
        <v>126</v>
      </c>
      <c r="O258" s="52" t="s">
        <v>94</v>
      </c>
      <c r="P258" s="109">
        <v>0.03</v>
      </c>
      <c r="S258" s="100">
        <v>425.555211267598</v>
      </c>
      <c r="U258" s="100">
        <v>0</v>
      </c>
      <c r="V258" s="100">
        <f t="shared" si="37"/>
        <v>425.555211267598</v>
      </c>
      <c r="W258" s="100">
        <f t="shared" si="41"/>
        <v>0</v>
      </c>
      <c r="X258" s="100"/>
      <c r="Y258" s="50">
        <f t="shared" ref="Y258:Y321" si="45">IF(W258-AB258&lt;0,0,IF(O258="返现",MAX(W258-AA258-AB258,0),MAX(W258-AB258,0)))</f>
        <v>0</v>
      </c>
      <c r="Z258" s="50">
        <f t="shared" ref="Z258:Z321" si="46">W258+X258+AN258</f>
        <v>0</v>
      </c>
      <c r="AA258" s="100">
        <f t="shared" si="38"/>
        <v>0</v>
      </c>
      <c r="AB258" s="100">
        <f t="shared" si="42"/>
        <v>0</v>
      </c>
      <c r="AC258" s="97">
        <v>0.05</v>
      </c>
      <c r="AG258" s="97">
        <v>0.42</v>
      </c>
      <c r="AH258" s="100">
        <f t="shared" si="43"/>
        <v>0</v>
      </c>
      <c r="AI258" s="100"/>
      <c r="AJ258" s="100">
        <f t="shared" si="39"/>
        <v>0</v>
      </c>
      <c r="AK258" s="100">
        <v>0</v>
      </c>
      <c r="AL258" s="99">
        <f t="shared" si="40"/>
        <v>0</v>
      </c>
      <c r="AM258" s="99">
        <f t="shared" si="44"/>
        <v>0</v>
      </c>
    </row>
    <row r="259" spans="1:40" hidden="1" x14ac:dyDescent="0.25">
      <c r="A259" s="106" t="s">
        <v>259</v>
      </c>
      <c r="B259" s="79" t="s">
        <v>71</v>
      </c>
      <c r="C259" s="79" t="s">
        <v>127</v>
      </c>
      <c r="D259" s="79" t="s">
        <v>128</v>
      </c>
      <c r="E259" s="79" t="s">
        <v>145</v>
      </c>
      <c r="F259" s="79" t="s">
        <v>146</v>
      </c>
      <c r="G259" s="79" t="s">
        <v>76</v>
      </c>
      <c r="H259" s="79" t="s">
        <v>77</v>
      </c>
      <c r="I259" s="45" t="s">
        <v>78</v>
      </c>
      <c r="J259" s="52" t="s">
        <v>78</v>
      </c>
      <c r="K259" s="52" t="s">
        <v>3</v>
      </c>
      <c r="L259" s="79" t="s">
        <v>125</v>
      </c>
      <c r="M259" s="79"/>
      <c r="N259" s="52" t="s">
        <v>126</v>
      </c>
      <c r="O259" s="52" t="s">
        <v>94</v>
      </c>
      <c r="P259" s="109">
        <v>0.22</v>
      </c>
      <c r="S259" s="100">
        <v>1402.38690140774</v>
      </c>
      <c r="U259" s="100">
        <v>0</v>
      </c>
      <c r="V259" s="100">
        <f t="shared" si="37"/>
        <v>1402.38690140774</v>
      </c>
      <c r="W259" s="100">
        <f t="shared" si="41"/>
        <v>0</v>
      </c>
      <c r="X259" s="100"/>
      <c r="Y259" s="50">
        <f t="shared" si="45"/>
        <v>0</v>
      </c>
      <c r="Z259" s="50">
        <f t="shared" si="46"/>
        <v>0</v>
      </c>
      <c r="AA259" s="100">
        <f t="shared" si="38"/>
        <v>0</v>
      </c>
      <c r="AB259" s="100">
        <f t="shared" si="42"/>
        <v>0</v>
      </c>
      <c r="AC259" s="97">
        <v>0.05</v>
      </c>
      <c r="AG259" s="97">
        <v>0.42</v>
      </c>
      <c r="AH259" s="100">
        <f t="shared" si="43"/>
        <v>0</v>
      </c>
      <c r="AI259" s="100"/>
      <c r="AJ259" s="100">
        <f t="shared" si="39"/>
        <v>0</v>
      </c>
      <c r="AK259" s="100">
        <v>0</v>
      </c>
      <c r="AL259" s="99">
        <f t="shared" si="40"/>
        <v>0</v>
      </c>
      <c r="AM259" s="99">
        <f t="shared" si="44"/>
        <v>0</v>
      </c>
    </row>
    <row r="260" spans="1:40" hidden="1" x14ac:dyDescent="0.25">
      <c r="A260" s="106" t="s">
        <v>259</v>
      </c>
      <c r="B260" s="79" t="s">
        <v>71</v>
      </c>
      <c r="C260" s="79" t="s">
        <v>127</v>
      </c>
      <c r="D260" s="79" t="s">
        <v>128</v>
      </c>
      <c r="E260" s="79" t="s">
        <v>147</v>
      </c>
      <c r="F260" s="79" t="s">
        <v>148</v>
      </c>
      <c r="G260" s="79" t="s">
        <v>76</v>
      </c>
      <c r="H260" s="79" t="s">
        <v>77</v>
      </c>
      <c r="I260" s="45" t="s">
        <v>78</v>
      </c>
      <c r="J260" s="52" t="s">
        <v>78</v>
      </c>
      <c r="K260" s="52" t="s">
        <v>3</v>
      </c>
      <c r="L260" s="79" t="s">
        <v>125</v>
      </c>
      <c r="M260" s="79"/>
      <c r="N260" s="52" t="s">
        <v>126</v>
      </c>
      <c r="O260" s="52" t="s">
        <v>94</v>
      </c>
      <c r="P260" s="109">
        <v>0.23</v>
      </c>
      <c r="S260" s="100">
        <v>12961.68</v>
      </c>
      <c r="U260" s="100">
        <v>0</v>
      </c>
      <c r="V260" s="100">
        <f t="shared" si="37"/>
        <v>12961.68</v>
      </c>
      <c r="W260" s="100">
        <f t="shared" si="41"/>
        <v>0</v>
      </c>
      <c r="X260" s="100"/>
      <c r="Y260" s="50">
        <f t="shared" si="45"/>
        <v>0</v>
      </c>
      <c r="Z260" s="50">
        <f t="shared" si="46"/>
        <v>0</v>
      </c>
      <c r="AA260" s="100">
        <f t="shared" si="38"/>
        <v>0</v>
      </c>
      <c r="AB260" s="100">
        <f t="shared" si="42"/>
        <v>0</v>
      </c>
      <c r="AC260" s="97">
        <v>0.05</v>
      </c>
      <c r="AG260" s="97">
        <v>0.42</v>
      </c>
      <c r="AH260" s="100">
        <f t="shared" si="43"/>
        <v>0</v>
      </c>
      <c r="AI260" s="100"/>
      <c r="AJ260" s="100">
        <f t="shared" si="39"/>
        <v>0</v>
      </c>
      <c r="AK260" s="100">
        <v>0</v>
      </c>
      <c r="AL260" s="99">
        <f t="shared" si="40"/>
        <v>0</v>
      </c>
      <c r="AM260" s="99">
        <f t="shared" si="44"/>
        <v>0</v>
      </c>
    </row>
    <row r="261" spans="1:40" hidden="1" x14ac:dyDescent="0.25">
      <c r="A261" s="106" t="s">
        <v>259</v>
      </c>
      <c r="B261" s="79" t="s">
        <v>71</v>
      </c>
      <c r="C261" s="79" t="s">
        <v>127</v>
      </c>
      <c r="D261" s="79" t="s">
        <v>128</v>
      </c>
      <c r="E261" s="79" t="s">
        <v>149</v>
      </c>
      <c r="F261" s="79" t="s">
        <v>150</v>
      </c>
      <c r="G261" s="79" t="s">
        <v>76</v>
      </c>
      <c r="H261" s="79" t="s">
        <v>77</v>
      </c>
      <c r="I261" s="45" t="s">
        <v>78</v>
      </c>
      <c r="J261" s="52" t="s">
        <v>78</v>
      </c>
      <c r="K261" s="52" t="s">
        <v>3</v>
      </c>
      <c r="L261" s="79" t="s">
        <v>125</v>
      </c>
      <c r="M261" s="79"/>
      <c r="N261" s="52" t="s">
        <v>126</v>
      </c>
      <c r="O261" s="52" t="s">
        <v>94</v>
      </c>
      <c r="P261" s="109">
        <v>0.13</v>
      </c>
      <c r="S261" s="100">
        <v>143.460985915328</v>
      </c>
      <c r="U261" s="100">
        <v>0</v>
      </c>
      <c r="V261" s="100">
        <f t="shared" si="37"/>
        <v>143.460985915328</v>
      </c>
      <c r="W261" s="100">
        <f t="shared" si="41"/>
        <v>0</v>
      </c>
      <c r="X261" s="100"/>
      <c r="Y261" s="50">
        <f t="shared" si="45"/>
        <v>0</v>
      </c>
      <c r="Z261" s="50">
        <f t="shared" si="46"/>
        <v>0</v>
      </c>
      <c r="AA261" s="100">
        <f t="shared" si="38"/>
        <v>0</v>
      </c>
      <c r="AB261" s="100">
        <f t="shared" si="42"/>
        <v>0</v>
      </c>
      <c r="AC261" s="97">
        <v>0.05</v>
      </c>
      <c r="AG261" s="97">
        <v>0.42</v>
      </c>
      <c r="AH261" s="100">
        <f t="shared" si="43"/>
        <v>0</v>
      </c>
      <c r="AI261" s="100"/>
      <c r="AJ261" s="100">
        <f t="shared" si="39"/>
        <v>0</v>
      </c>
      <c r="AK261" s="100">
        <v>0</v>
      </c>
      <c r="AL261" s="99">
        <f t="shared" si="40"/>
        <v>0</v>
      </c>
      <c r="AM261" s="99">
        <f t="shared" si="44"/>
        <v>0</v>
      </c>
    </row>
    <row r="262" spans="1:40" hidden="1" x14ac:dyDescent="0.25">
      <c r="A262" s="106" t="s">
        <v>259</v>
      </c>
      <c r="B262" s="79" t="s">
        <v>71</v>
      </c>
      <c r="C262" s="79" t="s">
        <v>127</v>
      </c>
      <c r="D262" s="79" t="s">
        <v>153</v>
      </c>
      <c r="E262" s="79" t="s">
        <v>154</v>
      </c>
      <c r="F262" s="79" t="s">
        <v>155</v>
      </c>
      <c r="G262" s="79" t="s">
        <v>76</v>
      </c>
      <c r="H262" s="79" t="s">
        <v>77</v>
      </c>
      <c r="I262" s="45" t="s">
        <v>78</v>
      </c>
      <c r="J262" s="52" t="s">
        <v>78</v>
      </c>
      <c r="K262" s="52" t="s">
        <v>3</v>
      </c>
      <c r="L262" s="79" t="s">
        <v>125</v>
      </c>
      <c r="M262" s="79"/>
      <c r="N262" s="52" t="s">
        <v>126</v>
      </c>
      <c r="O262" s="52" t="s">
        <v>94</v>
      </c>
      <c r="P262" s="110">
        <v>0.18</v>
      </c>
      <c r="S262" s="104">
        <v>114142.344929578</v>
      </c>
      <c r="U262" s="104">
        <v>71290.73</v>
      </c>
      <c r="V262" s="104">
        <f t="shared" si="37"/>
        <v>42851.614929578005</v>
      </c>
      <c r="W262" s="104">
        <f t="shared" si="41"/>
        <v>63270.522875000002</v>
      </c>
      <c r="X262" s="104"/>
      <c r="Y262" s="50">
        <f t="shared" si="45"/>
        <v>0</v>
      </c>
      <c r="Z262" s="50">
        <f t="shared" si="46"/>
        <v>63270.522875000002</v>
      </c>
      <c r="AA262" s="100">
        <f t="shared" si="38"/>
        <v>8020.2071249999935</v>
      </c>
      <c r="AB262" s="104">
        <f t="shared" si="42"/>
        <v>71290.73</v>
      </c>
      <c r="AC262" s="97">
        <v>0.05</v>
      </c>
      <c r="AG262" s="105">
        <v>0.42</v>
      </c>
      <c r="AH262" s="104">
        <f t="shared" si="43"/>
        <v>71290.908450704228</v>
      </c>
      <c r="AI262" s="104"/>
      <c r="AJ262" s="104">
        <f t="shared" si="39"/>
        <v>0</v>
      </c>
      <c r="AK262" s="104">
        <v>101233.09</v>
      </c>
      <c r="AL262" s="99">
        <f t="shared" si="40"/>
        <v>29942.36</v>
      </c>
      <c r="AM262" s="99">
        <f t="shared" si="44"/>
        <v>63270.681250000001</v>
      </c>
      <c r="AN262" s="99"/>
    </row>
    <row r="263" spans="1:40" hidden="1" x14ac:dyDescent="0.25">
      <c r="A263" s="106" t="s">
        <v>259</v>
      </c>
      <c r="B263" s="79" t="s">
        <v>71</v>
      </c>
      <c r="C263" s="79" t="s">
        <v>127</v>
      </c>
      <c r="D263" s="79" t="s">
        <v>153</v>
      </c>
      <c r="E263" s="79" t="s">
        <v>125</v>
      </c>
      <c r="F263" s="79" t="s">
        <v>156</v>
      </c>
      <c r="G263" s="79" t="s">
        <v>76</v>
      </c>
      <c r="H263" s="79" t="s">
        <v>77</v>
      </c>
      <c r="I263" s="45" t="s">
        <v>78</v>
      </c>
      <c r="J263" s="52" t="s">
        <v>78</v>
      </c>
      <c r="K263" s="52" t="s">
        <v>3</v>
      </c>
      <c r="L263" s="79" t="s">
        <v>125</v>
      </c>
      <c r="M263" s="79"/>
      <c r="N263" s="52" t="s">
        <v>126</v>
      </c>
      <c r="O263" s="52" t="s">
        <v>94</v>
      </c>
      <c r="P263" s="109">
        <v>0.08</v>
      </c>
      <c r="S263" s="100">
        <v>29897.39</v>
      </c>
      <c r="U263" s="100">
        <v>0</v>
      </c>
      <c r="V263" s="100">
        <f t="shared" si="37"/>
        <v>29897.39</v>
      </c>
      <c r="W263" s="100">
        <f t="shared" si="41"/>
        <v>0</v>
      </c>
      <c r="X263" s="100"/>
      <c r="Y263" s="50">
        <f t="shared" si="45"/>
        <v>0</v>
      </c>
      <c r="Z263" s="50">
        <f t="shared" si="46"/>
        <v>0</v>
      </c>
      <c r="AA263" s="100">
        <f t="shared" si="38"/>
        <v>0</v>
      </c>
      <c r="AB263" s="100">
        <f t="shared" si="42"/>
        <v>0</v>
      </c>
      <c r="AC263" s="97">
        <v>0.05</v>
      </c>
      <c r="AG263" s="97">
        <v>0.42</v>
      </c>
      <c r="AH263" s="100">
        <f t="shared" si="43"/>
        <v>0</v>
      </c>
      <c r="AI263" s="100"/>
      <c r="AJ263" s="100">
        <f t="shared" si="39"/>
        <v>0</v>
      </c>
      <c r="AK263" s="100">
        <v>0</v>
      </c>
      <c r="AL263" s="99">
        <f t="shared" si="40"/>
        <v>0</v>
      </c>
      <c r="AM263" s="99">
        <f t="shared" si="44"/>
        <v>0</v>
      </c>
    </row>
    <row r="264" spans="1:40" hidden="1" x14ac:dyDescent="0.25">
      <c r="A264" s="106" t="s">
        <v>259</v>
      </c>
      <c r="B264" s="79" t="s">
        <v>71</v>
      </c>
      <c r="C264" s="79" t="s">
        <v>127</v>
      </c>
      <c r="D264" s="79" t="s">
        <v>153</v>
      </c>
      <c r="E264" s="79" t="s">
        <v>157</v>
      </c>
      <c r="F264" s="79" t="s">
        <v>158</v>
      </c>
      <c r="G264" s="79" t="s">
        <v>76</v>
      </c>
      <c r="H264" s="79" t="s">
        <v>77</v>
      </c>
      <c r="I264" s="45" t="s">
        <v>78</v>
      </c>
      <c r="J264" s="52" t="s">
        <v>78</v>
      </c>
      <c r="K264" s="52" t="s">
        <v>3</v>
      </c>
      <c r="L264" s="79" t="s">
        <v>125</v>
      </c>
      <c r="M264" s="79"/>
      <c r="N264" s="52" t="s">
        <v>126</v>
      </c>
      <c r="O264" s="52" t="s">
        <v>94</v>
      </c>
      <c r="P264" s="109">
        <v>0.08</v>
      </c>
      <c r="S264" s="100">
        <v>20014.111126760599</v>
      </c>
      <c r="U264" s="100">
        <v>0</v>
      </c>
      <c r="V264" s="100">
        <f t="shared" si="37"/>
        <v>20014.111126760599</v>
      </c>
      <c r="W264" s="100">
        <f t="shared" si="41"/>
        <v>0</v>
      </c>
      <c r="X264" s="100"/>
      <c r="Y264" s="50">
        <f t="shared" si="45"/>
        <v>0</v>
      </c>
      <c r="Z264" s="50">
        <f t="shared" si="46"/>
        <v>0</v>
      </c>
      <c r="AA264" s="100">
        <f t="shared" si="38"/>
        <v>0</v>
      </c>
      <c r="AB264" s="100">
        <f t="shared" si="42"/>
        <v>0</v>
      </c>
      <c r="AC264" s="97">
        <v>0.05</v>
      </c>
      <c r="AG264" s="97">
        <v>0.42</v>
      </c>
      <c r="AH264" s="100">
        <f t="shared" si="43"/>
        <v>0</v>
      </c>
      <c r="AI264" s="100"/>
      <c r="AJ264" s="100">
        <f t="shared" si="39"/>
        <v>0</v>
      </c>
      <c r="AK264" s="100">
        <v>0</v>
      </c>
      <c r="AL264" s="99">
        <f t="shared" si="40"/>
        <v>0</v>
      </c>
      <c r="AM264" s="99">
        <f t="shared" si="44"/>
        <v>0</v>
      </c>
    </row>
    <row r="265" spans="1:40" hidden="1" x14ac:dyDescent="0.25">
      <c r="A265" s="106" t="s">
        <v>259</v>
      </c>
      <c r="B265" s="79" t="s">
        <v>71</v>
      </c>
      <c r="C265" s="79" t="s">
        <v>127</v>
      </c>
      <c r="D265" s="79" t="s">
        <v>153</v>
      </c>
      <c r="E265" s="79" t="s">
        <v>159</v>
      </c>
      <c r="F265" s="79" t="s">
        <v>160</v>
      </c>
      <c r="G265" s="79" t="s">
        <v>76</v>
      </c>
      <c r="H265" s="79" t="s">
        <v>77</v>
      </c>
      <c r="I265" s="45" t="s">
        <v>78</v>
      </c>
      <c r="J265" s="52" t="s">
        <v>78</v>
      </c>
      <c r="K265" s="52" t="s">
        <v>3</v>
      </c>
      <c r="L265" s="79" t="s">
        <v>125</v>
      </c>
      <c r="M265" s="79"/>
      <c r="N265" s="52" t="s">
        <v>126</v>
      </c>
      <c r="O265" s="52" t="s">
        <v>94</v>
      </c>
      <c r="P265" s="109">
        <v>0.04</v>
      </c>
      <c r="S265" s="100">
        <v>322.47394365991897</v>
      </c>
      <c r="U265" s="100">
        <v>0</v>
      </c>
      <c r="V265" s="100">
        <f t="shared" si="37"/>
        <v>322.47394365991897</v>
      </c>
      <c r="W265" s="100">
        <f t="shared" si="41"/>
        <v>0</v>
      </c>
      <c r="X265" s="100"/>
      <c r="Y265" s="50">
        <f t="shared" si="45"/>
        <v>0</v>
      </c>
      <c r="Z265" s="50">
        <f t="shared" si="46"/>
        <v>0</v>
      </c>
      <c r="AA265" s="100">
        <f t="shared" si="38"/>
        <v>0</v>
      </c>
      <c r="AB265" s="100">
        <f t="shared" si="42"/>
        <v>0</v>
      </c>
      <c r="AC265" s="97">
        <v>0.05</v>
      </c>
      <c r="AG265" s="97">
        <v>0.42</v>
      </c>
      <c r="AH265" s="100">
        <f t="shared" si="43"/>
        <v>0</v>
      </c>
      <c r="AI265" s="100"/>
      <c r="AJ265" s="100">
        <f t="shared" si="39"/>
        <v>0</v>
      </c>
      <c r="AK265" s="100">
        <v>0</v>
      </c>
      <c r="AL265" s="99">
        <f t="shared" si="40"/>
        <v>0</v>
      </c>
      <c r="AM265" s="99">
        <f t="shared" si="44"/>
        <v>0</v>
      </c>
    </row>
    <row r="266" spans="1:40" hidden="1" x14ac:dyDescent="0.25">
      <c r="A266" s="106" t="s">
        <v>259</v>
      </c>
      <c r="B266" s="79" t="s">
        <v>71</v>
      </c>
      <c r="C266" s="79" t="s">
        <v>127</v>
      </c>
      <c r="D266" s="79" t="s">
        <v>153</v>
      </c>
      <c r="E266" s="79" t="s">
        <v>161</v>
      </c>
      <c r="F266" s="79" t="s">
        <v>162</v>
      </c>
      <c r="G266" s="79" t="s">
        <v>76</v>
      </c>
      <c r="H266" s="79" t="s">
        <v>77</v>
      </c>
      <c r="I266" s="45" t="s">
        <v>78</v>
      </c>
      <c r="J266" s="52" t="s">
        <v>78</v>
      </c>
      <c r="K266" s="52" t="s">
        <v>3</v>
      </c>
      <c r="L266" s="79" t="s">
        <v>125</v>
      </c>
      <c r="M266" s="79"/>
      <c r="N266" s="52" t="s">
        <v>126</v>
      </c>
      <c r="O266" s="52" t="s">
        <v>94</v>
      </c>
      <c r="P266" s="109">
        <v>0.23</v>
      </c>
      <c r="S266" s="100">
        <v>196.54507042269699</v>
      </c>
      <c r="U266" s="100">
        <v>0</v>
      </c>
      <c r="V266" s="100">
        <f t="shared" si="37"/>
        <v>196.54507042269699</v>
      </c>
      <c r="W266" s="100">
        <f t="shared" si="41"/>
        <v>0</v>
      </c>
      <c r="X266" s="100"/>
      <c r="Y266" s="50">
        <f t="shared" si="45"/>
        <v>0</v>
      </c>
      <c r="Z266" s="50">
        <f t="shared" si="46"/>
        <v>0</v>
      </c>
      <c r="AA266" s="100">
        <f t="shared" si="38"/>
        <v>0</v>
      </c>
      <c r="AB266" s="100">
        <f t="shared" si="42"/>
        <v>0</v>
      </c>
      <c r="AC266" s="97">
        <v>0.05</v>
      </c>
      <c r="AG266" s="97">
        <v>0.42</v>
      </c>
      <c r="AH266" s="100">
        <f t="shared" si="43"/>
        <v>0</v>
      </c>
      <c r="AI266" s="100"/>
      <c r="AJ266" s="100">
        <f t="shared" si="39"/>
        <v>0</v>
      </c>
      <c r="AK266" s="100">
        <v>0</v>
      </c>
      <c r="AL266" s="99">
        <f t="shared" si="40"/>
        <v>0</v>
      </c>
      <c r="AM266" s="99">
        <f t="shared" si="44"/>
        <v>0</v>
      </c>
    </row>
    <row r="267" spans="1:40" hidden="1" x14ac:dyDescent="0.25">
      <c r="A267" s="106" t="s">
        <v>259</v>
      </c>
      <c r="B267" s="79" t="s">
        <v>71</v>
      </c>
      <c r="C267" s="79" t="s">
        <v>127</v>
      </c>
      <c r="D267" s="79" t="s">
        <v>153</v>
      </c>
      <c r="E267" s="79" t="s">
        <v>163</v>
      </c>
      <c r="F267" s="79" t="s">
        <v>164</v>
      </c>
      <c r="G267" s="79" t="s">
        <v>76</v>
      </c>
      <c r="H267" s="79" t="s">
        <v>77</v>
      </c>
      <c r="I267" s="45" t="s">
        <v>78</v>
      </c>
      <c r="J267" s="52" t="s">
        <v>78</v>
      </c>
      <c r="K267" s="52" t="s">
        <v>3</v>
      </c>
      <c r="L267" s="79" t="s">
        <v>125</v>
      </c>
      <c r="M267" s="79"/>
      <c r="N267" s="52" t="s">
        <v>126</v>
      </c>
      <c r="O267" s="52" t="s">
        <v>94</v>
      </c>
      <c r="P267" s="109">
        <v>0.03</v>
      </c>
      <c r="S267" s="100">
        <v>1513.0032394366101</v>
      </c>
      <c r="U267" s="100">
        <v>0</v>
      </c>
      <c r="V267" s="100">
        <f t="shared" si="37"/>
        <v>1513.0032394366101</v>
      </c>
      <c r="W267" s="100">
        <f t="shared" si="41"/>
        <v>0</v>
      </c>
      <c r="X267" s="100"/>
      <c r="Y267" s="50">
        <f t="shared" si="45"/>
        <v>0</v>
      </c>
      <c r="Z267" s="50">
        <f t="shared" si="46"/>
        <v>0</v>
      </c>
      <c r="AA267" s="100">
        <f t="shared" si="38"/>
        <v>0</v>
      </c>
      <c r="AB267" s="100">
        <f t="shared" si="42"/>
        <v>0</v>
      </c>
      <c r="AC267" s="97">
        <v>0.05</v>
      </c>
      <c r="AG267" s="97">
        <v>0.42</v>
      </c>
      <c r="AH267" s="100">
        <f t="shared" si="43"/>
        <v>0</v>
      </c>
      <c r="AI267" s="100"/>
      <c r="AJ267" s="100">
        <f t="shared" si="39"/>
        <v>0</v>
      </c>
      <c r="AK267" s="100">
        <v>0</v>
      </c>
      <c r="AL267" s="99">
        <f t="shared" si="40"/>
        <v>0</v>
      </c>
      <c r="AM267" s="99">
        <f t="shared" si="44"/>
        <v>0</v>
      </c>
    </row>
    <row r="268" spans="1:40" hidden="1" x14ac:dyDescent="0.25">
      <c r="A268" s="106" t="s">
        <v>259</v>
      </c>
      <c r="B268" s="79" t="s">
        <v>71</v>
      </c>
      <c r="C268" s="79" t="s">
        <v>127</v>
      </c>
      <c r="D268" s="79" t="s">
        <v>153</v>
      </c>
      <c r="E268" s="79" t="s">
        <v>165</v>
      </c>
      <c r="F268" s="79" t="s">
        <v>166</v>
      </c>
      <c r="G268" s="79" t="s">
        <v>76</v>
      </c>
      <c r="H268" s="79" t="s">
        <v>77</v>
      </c>
      <c r="I268" s="45" t="s">
        <v>78</v>
      </c>
      <c r="J268" s="52" t="s">
        <v>78</v>
      </c>
      <c r="K268" s="52" t="s">
        <v>3</v>
      </c>
      <c r="L268" s="79" t="s">
        <v>125</v>
      </c>
      <c r="M268" s="79"/>
      <c r="N268" s="52" t="s">
        <v>126</v>
      </c>
      <c r="O268" s="52" t="s">
        <v>94</v>
      </c>
      <c r="P268" s="109">
        <v>0.03</v>
      </c>
      <c r="S268" s="100">
        <v>6504.6216901406997</v>
      </c>
      <c r="U268" s="100">
        <v>0</v>
      </c>
      <c r="V268" s="100">
        <f t="shared" si="37"/>
        <v>6504.6216901406997</v>
      </c>
      <c r="W268" s="100">
        <f t="shared" si="41"/>
        <v>0</v>
      </c>
      <c r="X268" s="100"/>
      <c r="Y268" s="50">
        <f t="shared" si="45"/>
        <v>0</v>
      </c>
      <c r="Z268" s="50">
        <f t="shared" si="46"/>
        <v>0</v>
      </c>
      <c r="AA268" s="100">
        <f t="shared" si="38"/>
        <v>0</v>
      </c>
      <c r="AB268" s="100">
        <f t="shared" si="42"/>
        <v>0</v>
      </c>
      <c r="AC268" s="97">
        <v>0.05</v>
      </c>
      <c r="AG268" s="97">
        <v>0</v>
      </c>
      <c r="AH268" s="100">
        <f t="shared" si="43"/>
        <v>0</v>
      </c>
      <c r="AI268" s="100"/>
      <c r="AJ268" s="100">
        <f t="shared" si="39"/>
        <v>0</v>
      </c>
      <c r="AK268" s="100">
        <v>0</v>
      </c>
      <c r="AL268" s="99">
        <f t="shared" si="40"/>
        <v>0</v>
      </c>
      <c r="AM268" s="99">
        <f t="shared" si="44"/>
        <v>0</v>
      </c>
    </row>
    <row r="269" spans="1:40" hidden="1" x14ac:dyDescent="0.25">
      <c r="A269" s="106" t="s">
        <v>259</v>
      </c>
      <c r="B269" s="79" t="s">
        <v>71</v>
      </c>
      <c r="C269" s="79" t="s">
        <v>127</v>
      </c>
      <c r="D269" s="79" t="s">
        <v>153</v>
      </c>
      <c r="E269" s="79" t="s">
        <v>167</v>
      </c>
      <c r="F269" s="79" t="s">
        <v>168</v>
      </c>
      <c r="G269" s="79" t="s">
        <v>76</v>
      </c>
      <c r="H269" s="79" t="s">
        <v>77</v>
      </c>
      <c r="I269" s="45" t="s">
        <v>78</v>
      </c>
      <c r="J269" s="52" t="s">
        <v>78</v>
      </c>
      <c r="K269" s="52" t="s">
        <v>3</v>
      </c>
      <c r="L269" s="79" t="s">
        <v>125</v>
      </c>
      <c r="M269" s="79"/>
      <c r="N269" s="52" t="s">
        <v>126</v>
      </c>
      <c r="O269" s="52" t="s">
        <v>94</v>
      </c>
      <c r="P269" s="109">
        <v>0.18</v>
      </c>
      <c r="S269" s="100">
        <v>44820.261970721403</v>
      </c>
      <c r="U269" s="100">
        <v>0</v>
      </c>
      <c r="V269" s="100">
        <f t="shared" si="37"/>
        <v>44820.261970721403</v>
      </c>
      <c r="W269" s="100">
        <f t="shared" si="41"/>
        <v>0</v>
      </c>
      <c r="X269" s="100"/>
      <c r="Y269" s="50">
        <f t="shared" si="45"/>
        <v>0</v>
      </c>
      <c r="Z269" s="50">
        <f t="shared" si="46"/>
        <v>0</v>
      </c>
      <c r="AA269" s="100">
        <f t="shared" si="38"/>
        <v>0</v>
      </c>
      <c r="AB269" s="100">
        <f t="shared" si="42"/>
        <v>0</v>
      </c>
      <c r="AC269" s="97">
        <v>0.05</v>
      </c>
      <c r="AG269" s="97">
        <v>0.42</v>
      </c>
      <c r="AH269" s="100">
        <f t="shared" si="43"/>
        <v>0</v>
      </c>
      <c r="AI269" s="100"/>
      <c r="AJ269" s="100">
        <f t="shared" si="39"/>
        <v>0</v>
      </c>
      <c r="AK269" s="100">
        <v>0</v>
      </c>
      <c r="AL269" s="99">
        <f t="shared" si="40"/>
        <v>0</v>
      </c>
      <c r="AM269" s="99">
        <f t="shared" si="44"/>
        <v>0</v>
      </c>
    </row>
    <row r="270" spans="1:40" hidden="1" x14ac:dyDescent="0.25">
      <c r="A270" s="106" t="s">
        <v>259</v>
      </c>
      <c r="B270" s="79" t="s">
        <v>71</v>
      </c>
      <c r="C270" s="79" t="s">
        <v>127</v>
      </c>
      <c r="D270" s="79" t="s">
        <v>153</v>
      </c>
      <c r="E270" s="79" t="s">
        <v>169</v>
      </c>
      <c r="F270" s="79" t="s">
        <v>170</v>
      </c>
      <c r="G270" s="79" t="s">
        <v>76</v>
      </c>
      <c r="H270" s="79" t="s">
        <v>77</v>
      </c>
      <c r="I270" s="45" t="s">
        <v>78</v>
      </c>
      <c r="J270" s="52" t="s">
        <v>78</v>
      </c>
      <c r="K270" s="52" t="s">
        <v>3</v>
      </c>
      <c r="L270" s="79" t="s">
        <v>125</v>
      </c>
      <c r="M270" s="79"/>
      <c r="N270" s="52" t="s">
        <v>126</v>
      </c>
      <c r="O270" s="52" t="s">
        <v>94</v>
      </c>
      <c r="P270" s="109">
        <v>0.23</v>
      </c>
      <c r="S270" s="100">
        <v>132154.611549297</v>
      </c>
      <c r="U270" s="100">
        <v>0</v>
      </c>
      <c r="V270" s="100">
        <f t="shared" si="37"/>
        <v>132154.611549297</v>
      </c>
      <c r="W270" s="100">
        <f t="shared" si="41"/>
        <v>0</v>
      </c>
      <c r="X270" s="100"/>
      <c r="Y270" s="50">
        <f t="shared" si="45"/>
        <v>0</v>
      </c>
      <c r="Z270" s="50">
        <f t="shared" si="46"/>
        <v>0</v>
      </c>
      <c r="AA270" s="100">
        <f t="shared" ref="AA270:AA291" si="47">IF(O270="返现",W270*P270,U270-W270)</f>
        <v>0</v>
      </c>
      <c r="AB270" s="100">
        <f t="shared" si="42"/>
        <v>0</v>
      </c>
      <c r="AC270" s="97">
        <v>0.05</v>
      </c>
      <c r="AG270" s="97">
        <v>0.42</v>
      </c>
      <c r="AH270" s="100">
        <f t="shared" si="43"/>
        <v>0</v>
      </c>
      <c r="AI270" s="100"/>
      <c r="AJ270" s="100">
        <f t="shared" ref="AJ270:AJ287" si="48">T270*AG270</f>
        <v>0</v>
      </c>
      <c r="AK270" s="100">
        <v>0</v>
      </c>
      <c r="AL270" s="99">
        <f t="shared" ref="AL270:AL287" si="49">AI270+AJ270+AK270-U270</f>
        <v>0</v>
      </c>
      <c r="AM270" s="99">
        <f t="shared" si="44"/>
        <v>0</v>
      </c>
    </row>
    <row r="271" spans="1:40" hidden="1" x14ac:dyDescent="0.25">
      <c r="A271" s="106" t="s">
        <v>259</v>
      </c>
      <c r="B271" s="79" t="s">
        <v>71</v>
      </c>
      <c r="C271" s="79" t="s">
        <v>127</v>
      </c>
      <c r="D271" s="79" t="s">
        <v>153</v>
      </c>
      <c r="E271" s="79" t="s">
        <v>171</v>
      </c>
      <c r="F271" s="79" t="s">
        <v>172</v>
      </c>
      <c r="G271" s="79" t="s">
        <v>76</v>
      </c>
      <c r="H271" s="79" t="s">
        <v>77</v>
      </c>
      <c r="I271" s="45" t="s">
        <v>78</v>
      </c>
      <c r="J271" s="52" t="s">
        <v>78</v>
      </c>
      <c r="K271" s="52" t="s">
        <v>3</v>
      </c>
      <c r="L271" s="79" t="s">
        <v>125</v>
      </c>
      <c r="M271" s="79"/>
      <c r="N271" s="52" t="s">
        <v>126</v>
      </c>
      <c r="O271" s="52" t="s">
        <v>94</v>
      </c>
      <c r="P271" s="109">
        <v>0.03</v>
      </c>
      <c r="S271" s="48">
        <v>14157.309295774699</v>
      </c>
      <c r="U271" s="100">
        <v>0</v>
      </c>
      <c r="V271" s="100">
        <f t="shared" si="37"/>
        <v>14157.309295774699</v>
      </c>
      <c r="W271" s="100">
        <f t="shared" si="41"/>
        <v>0</v>
      </c>
      <c r="X271" s="100"/>
      <c r="Y271" s="50">
        <f t="shared" si="45"/>
        <v>0</v>
      </c>
      <c r="Z271" s="50">
        <f t="shared" si="46"/>
        <v>0</v>
      </c>
      <c r="AA271" s="100">
        <f t="shared" si="47"/>
        <v>0</v>
      </c>
      <c r="AB271" s="100">
        <f t="shared" si="42"/>
        <v>0</v>
      </c>
      <c r="AC271" s="97">
        <v>0.05</v>
      </c>
      <c r="AG271" s="97">
        <v>0.42</v>
      </c>
      <c r="AH271" s="100">
        <f t="shared" si="43"/>
        <v>0</v>
      </c>
      <c r="AI271" s="100"/>
      <c r="AJ271" s="100">
        <f t="shared" si="48"/>
        <v>0</v>
      </c>
      <c r="AK271" s="100">
        <v>0</v>
      </c>
      <c r="AL271" s="99">
        <f t="shared" si="49"/>
        <v>0</v>
      </c>
      <c r="AM271" s="99">
        <f t="shared" si="44"/>
        <v>0</v>
      </c>
    </row>
    <row r="272" spans="1:40" hidden="1" x14ac:dyDescent="0.25">
      <c r="A272" s="106" t="s">
        <v>259</v>
      </c>
      <c r="B272" s="79" t="s">
        <v>71</v>
      </c>
      <c r="C272" s="79" t="s">
        <v>127</v>
      </c>
      <c r="D272" s="79" t="s">
        <v>153</v>
      </c>
      <c r="E272" s="79" t="s">
        <v>173</v>
      </c>
      <c r="F272" s="79" t="s">
        <v>174</v>
      </c>
      <c r="G272" s="79" t="s">
        <v>76</v>
      </c>
      <c r="H272" s="79" t="s">
        <v>77</v>
      </c>
      <c r="I272" s="45" t="s">
        <v>78</v>
      </c>
      <c r="J272" s="52" t="s">
        <v>78</v>
      </c>
      <c r="K272" s="52" t="s">
        <v>3</v>
      </c>
      <c r="L272" s="79" t="s">
        <v>125</v>
      </c>
      <c r="M272" s="79"/>
      <c r="N272" s="52" t="s">
        <v>126</v>
      </c>
      <c r="O272" s="52" t="s">
        <v>94</v>
      </c>
      <c r="P272" s="109">
        <v>0.03</v>
      </c>
      <c r="S272" s="100">
        <v>480.55873239384499</v>
      </c>
      <c r="U272" s="100">
        <v>0</v>
      </c>
      <c r="V272" s="100">
        <f t="shared" si="37"/>
        <v>480.55873239384499</v>
      </c>
      <c r="W272" s="100">
        <f t="shared" si="41"/>
        <v>0</v>
      </c>
      <c r="X272" s="100"/>
      <c r="Y272" s="50">
        <f t="shared" si="45"/>
        <v>0</v>
      </c>
      <c r="Z272" s="50">
        <f t="shared" si="46"/>
        <v>0</v>
      </c>
      <c r="AA272" s="100">
        <f t="shared" si="47"/>
        <v>0</v>
      </c>
      <c r="AB272" s="100">
        <f t="shared" si="42"/>
        <v>0</v>
      </c>
      <c r="AC272" s="97">
        <v>0.05</v>
      </c>
      <c r="AG272" s="97">
        <v>0.42</v>
      </c>
      <c r="AH272" s="100">
        <f t="shared" si="43"/>
        <v>0</v>
      </c>
      <c r="AI272" s="100"/>
      <c r="AJ272" s="100">
        <f t="shared" si="48"/>
        <v>0</v>
      </c>
      <c r="AK272" s="100">
        <v>0</v>
      </c>
      <c r="AL272" s="99">
        <f t="shared" si="49"/>
        <v>0</v>
      </c>
      <c r="AM272" s="99">
        <f t="shared" si="44"/>
        <v>0</v>
      </c>
    </row>
    <row r="273" spans="1:40" hidden="1" x14ac:dyDescent="0.25">
      <c r="A273" s="106" t="s">
        <v>259</v>
      </c>
      <c r="B273" s="79" t="s">
        <v>71</v>
      </c>
      <c r="C273" s="79" t="s">
        <v>127</v>
      </c>
      <c r="D273" s="79" t="s">
        <v>153</v>
      </c>
      <c r="E273" s="79" t="s">
        <v>175</v>
      </c>
      <c r="F273" s="79" t="s">
        <v>176</v>
      </c>
      <c r="G273" s="79" t="s">
        <v>76</v>
      </c>
      <c r="H273" s="79" t="s">
        <v>77</v>
      </c>
      <c r="I273" s="45" t="s">
        <v>78</v>
      </c>
      <c r="J273" s="52" t="s">
        <v>78</v>
      </c>
      <c r="K273" s="52" t="s">
        <v>3</v>
      </c>
      <c r="L273" s="79" t="s">
        <v>125</v>
      </c>
      <c r="M273" s="79"/>
      <c r="N273" s="52" t="s">
        <v>126</v>
      </c>
      <c r="O273" s="52" t="s">
        <v>94</v>
      </c>
      <c r="P273" s="109">
        <v>0.23</v>
      </c>
      <c r="S273" s="48">
        <v>88.72</v>
      </c>
      <c r="U273" s="100">
        <v>0</v>
      </c>
      <c r="V273" s="100">
        <f t="shared" si="37"/>
        <v>88.72</v>
      </c>
      <c r="W273" s="100">
        <f t="shared" si="41"/>
        <v>0</v>
      </c>
      <c r="X273" s="100"/>
      <c r="Y273" s="50">
        <f t="shared" si="45"/>
        <v>0</v>
      </c>
      <c r="Z273" s="50">
        <f t="shared" si="46"/>
        <v>0</v>
      </c>
      <c r="AA273" s="100">
        <f t="shared" si="47"/>
        <v>0</v>
      </c>
      <c r="AB273" s="100">
        <f t="shared" si="42"/>
        <v>0</v>
      </c>
      <c r="AC273" s="97">
        <v>0.05</v>
      </c>
      <c r="AG273" s="97">
        <v>0.42</v>
      </c>
      <c r="AH273" s="100">
        <f t="shared" si="43"/>
        <v>0</v>
      </c>
      <c r="AI273" s="100"/>
      <c r="AJ273" s="100">
        <f t="shared" si="48"/>
        <v>0</v>
      </c>
      <c r="AK273" s="100">
        <v>0</v>
      </c>
      <c r="AL273" s="99">
        <f t="shared" si="49"/>
        <v>0</v>
      </c>
      <c r="AM273" s="99">
        <f t="shared" si="44"/>
        <v>0</v>
      </c>
    </row>
    <row r="274" spans="1:40" hidden="1" x14ac:dyDescent="0.25">
      <c r="A274" s="106" t="s">
        <v>259</v>
      </c>
      <c r="B274" s="79" t="s">
        <v>71</v>
      </c>
      <c r="C274" s="79" t="s">
        <v>127</v>
      </c>
      <c r="D274" s="79" t="s">
        <v>153</v>
      </c>
      <c r="E274" s="79" t="s">
        <v>177</v>
      </c>
      <c r="F274" s="79" t="s">
        <v>178</v>
      </c>
      <c r="G274" s="79" t="s">
        <v>76</v>
      </c>
      <c r="H274" s="79" t="s">
        <v>77</v>
      </c>
      <c r="I274" s="45" t="s">
        <v>78</v>
      </c>
      <c r="J274" s="52" t="s">
        <v>78</v>
      </c>
      <c r="K274" s="52" t="s">
        <v>3</v>
      </c>
      <c r="L274" s="79" t="s">
        <v>125</v>
      </c>
      <c r="M274" s="79"/>
      <c r="N274" s="52" t="s">
        <v>126</v>
      </c>
      <c r="O274" s="52" t="s">
        <v>94</v>
      </c>
      <c r="P274" s="109">
        <v>0.18</v>
      </c>
      <c r="S274" s="100">
        <v>147.29985915508601</v>
      </c>
      <c r="U274" s="100">
        <v>0</v>
      </c>
      <c r="V274" s="100">
        <f t="shared" si="37"/>
        <v>147.29985915508601</v>
      </c>
      <c r="W274" s="100">
        <f t="shared" si="41"/>
        <v>0</v>
      </c>
      <c r="X274" s="100"/>
      <c r="Y274" s="50">
        <f t="shared" si="45"/>
        <v>0</v>
      </c>
      <c r="Z274" s="50">
        <f t="shared" si="46"/>
        <v>0</v>
      </c>
      <c r="AA274" s="100">
        <f t="shared" si="47"/>
        <v>0</v>
      </c>
      <c r="AB274" s="100">
        <f t="shared" si="42"/>
        <v>0</v>
      </c>
      <c r="AC274" s="97">
        <v>0.05</v>
      </c>
      <c r="AG274" s="97">
        <v>0.42</v>
      </c>
      <c r="AH274" s="100">
        <f t="shared" si="43"/>
        <v>0</v>
      </c>
      <c r="AI274" s="100"/>
      <c r="AJ274" s="100">
        <f t="shared" si="48"/>
        <v>0</v>
      </c>
      <c r="AK274" s="100">
        <v>0</v>
      </c>
      <c r="AL274" s="99">
        <f t="shared" si="49"/>
        <v>0</v>
      </c>
      <c r="AM274" s="99">
        <f t="shared" si="44"/>
        <v>0</v>
      </c>
    </row>
    <row r="275" spans="1:40" hidden="1" x14ac:dyDescent="0.25">
      <c r="A275" s="106" t="s">
        <v>259</v>
      </c>
      <c r="B275" s="79" t="s">
        <v>71</v>
      </c>
      <c r="C275" s="79" t="s">
        <v>127</v>
      </c>
      <c r="D275" s="79" t="s">
        <v>153</v>
      </c>
      <c r="E275" s="79" t="s">
        <v>179</v>
      </c>
      <c r="F275" s="79" t="s">
        <v>180</v>
      </c>
      <c r="G275" s="79" t="s">
        <v>76</v>
      </c>
      <c r="H275" s="79" t="s">
        <v>77</v>
      </c>
      <c r="I275" s="45" t="s">
        <v>78</v>
      </c>
      <c r="J275" s="52" t="s">
        <v>78</v>
      </c>
      <c r="K275" s="52" t="s">
        <v>3</v>
      </c>
      <c r="L275" s="79" t="s">
        <v>125</v>
      </c>
      <c r="M275" s="79"/>
      <c r="N275" s="52" t="s">
        <v>126</v>
      </c>
      <c r="O275" s="52" t="s">
        <v>94</v>
      </c>
      <c r="P275" s="109">
        <v>0.18</v>
      </c>
      <c r="S275" s="100">
        <v>4215.2245070423196</v>
      </c>
      <c r="U275" s="100">
        <v>0</v>
      </c>
      <c r="V275" s="100">
        <f t="shared" si="37"/>
        <v>4215.2245070423196</v>
      </c>
      <c r="W275" s="100">
        <f t="shared" si="41"/>
        <v>0</v>
      </c>
      <c r="X275" s="100"/>
      <c r="Y275" s="50">
        <f t="shared" si="45"/>
        <v>0</v>
      </c>
      <c r="Z275" s="50">
        <f t="shared" si="46"/>
        <v>0</v>
      </c>
      <c r="AA275" s="100">
        <f t="shared" si="47"/>
        <v>0</v>
      </c>
      <c r="AB275" s="100">
        <f t="shared" si="42"/>
        <v>0</v>
      </c>
      <c r="AC275" s="97">
        <v>0.05</v>
      </c>
      <c r="AG275" s="97">
        <v>0.42</v>
      </c>
      <c r="AH275" s="100">
        <f t="shared" si="43"/>
        <v>0</v>
      </c>
      <c r="AI275" s="100"/>
      <c r="AJ275" s="100">
        <f t="shared" si="48"/>
        <v>0</v>
      </c>
      <c r="AK275" s="100">
        <v>0</v>
      </c>
      <c r="AL275" s="99">
        <f t="shared" si="49"/>
        <v>0</v>
      </c>
      <c r="AM275" s="99">
        <f t="shared" si="44"/>
        <v>0</v>
      </c>
    </row>
    <row r="276" spans="1:40" hidden="1" x14ac:dyDescent="0.25">
      <c r="A276" s="106" t="s">
        <v>259</v>
      </c>
      <c r="B276" s="79" t="s">
        <v>71</v>
      </c>
      <c r="C276" s="79" t="s">
        <v>127</v>
      </c>
      <c r="D276" s="79" t="s">
        <v>153</v>
      </c>
      <c r="E276" s="79" t="s">
        <v>181</v>
      </c>
      <c r="F276" s="79" t="s">
        <v>182</v>
      </c>
      <c r="G276" s="79" t="s">
        <v>76</v>
      </c>
      <c r="H276" s="79" t="s">
        <v>77</v>
      </c>
      <c r="I276" s="45" t="s">
        <v>78</v>
      </c>
      <c r="J276" s="52" t="s">
        <v>78</v>
      </c>
      <c r="K276" s="52" t="s">
        <v>3</v>
      </c>
      <c r="L276" s="79" t="s">
        <v>125</v>
      </c>
      <c r="M276" s="79"/>
      <c r="N276" s="52" t="s">
        <v>126</v>
      </c>
      <c r="O276" s="52" t="s">
        <v>94</v>
      </c>
      <c r="P276" s="109">
        <v>0.23</v>
      </c>
      <c r="S276" s="100">
        <v>127.3395774647</v>
      </c>
      <c r="U276" s="100">
        <v>0</v>
      </c>
      <c r="V276" s="100">
        <f t="shared" si="37"/>
        <v>127.3395774647</v>
      </c>
      <c r="W276" s="100">
        <f t="shared" si="41"/>
        <v>0</v>
      </c>
      <c r="X276" s="100"/>
      <c r="Y276" s="50">
        <f t="shared" si="45"/>
        <v>0</v>
      </c>
      <c r="Z276" s="50">
        <f t="shared" si="46"/>
        <v>0</v>
      </c>
      <c r="AA276" s="100">
        <f t="shared" si="47"/>
        <v>0</v>
      </c>
      <c r="AB276" s="100">
        <f t="shared" si="42"/>
        <v>0</v>
      </c>
      <c r="AC276" s="97">
        <v>0.05</v>
      </c>
      <c r="AG276" s="97">
        <v>0.42</v>
      </c>
      <c r="AH276" s="100">
        <f t="shared" si="43"/>
        <v>0</v>
      </c>
      <c r="AI276" s="100"/>
      <c r="AJ276" s="100">
        <f t="shared" si="48"/>
        <v>0</v>
      </c>
      <c r="AK276" s="100">
        <v>0</v>
      </c>
      <c r="AL276" s="99">
        <f t="shared" si="49"/>
        <v>0</v>
      </c>
      <c r="AM276" s="99">
        <f t="shared" si="44"/>
        <v>0</v>
      </c>
    </row>
    <row r="277" spans="1:40" hidden="1" x14ac:dyDescent="0.25">
      <c r="A277" s="106" t="s">
        <v>259</v>
      </c>
      <c r="B277" s="79" t="s">
        <v>71</v>
      </c>
      <c r="C277" s="79" t="s">
        <v>127</v>
      </c>
      <c r="D277" s="79" t="s">
        <v>153</v>
      </c>
      <c r="E277" s="79" t="s">
        <v>183</v>
      </c>
      <c r="F277" s="79" t="s">
        <v>184</v>
      </c>
      <c r="G277" s="79" t="s">
        <v>76</v>
      </c>
      <c r="H277" s="79" t="s">
        <v>77</v>
      </c>
      <c r="I277" s="45" t="s">
        <v>78</v>
      </c>
      <c r="J277" s="52" t="s">
        <v>78</v>
      </c>
      <c r="K277" s="52" t="s">
        <v>3</v>
      </c>
      <c r="L277" s="79" t="s">
        <v>125</v>
      </c>
      <c r="M277" s="79"/>
      <c r="N277" s="52" t="s">
        <v>126</v>
      </c>
      <c r="O277" s="52" t="s">
        <v>94</v>
      </c>
      <c r="P277" s="109">
        <v>0.23</v>
      </c>
      <c r="S277" s="48">
        <v>172.66352112698999</v>
      </c>
      <c r="U277" s="100">
        <v>0</v>
      </c>
      <c r="V277" s="100">
        <f t="shared" si="37"/>
        <v>172.66352112698999</v>
      </c>
      <c r="W277" s="100">
        <f t="shared" si="41"/>
        <v>0</v>
      </c>
      <c r="X277" s="100"/>
      <c r="Y277" s="50">
        <f t="shared" si="45"/>
        <v>0</v>
      </c>
      <c r="Z277" s="50">
        <f t="shared" si="46"/>
        <v>0</v>
      </c>
      <c r="AA277" s="100">
        <f t="shared" si="47"/>
        <v>0</v>
      </c>
      <c r="AB277" s="100">
        <f t="shared" si="42"/>
        <v>0</v>
      </c>
      <c r="AC277" s="97">
        <v>0.05</v>
      </c>
      <c r="AG277" s="97">
        <v>0.42</v>
      </c>
      <c r="AH277" s="100">
        <f t="shared" si="43"/>
        <v>0</v>
      </c>
      <c r="AI277" s="100"/>
      <c r="AJ277" s="100">
        <f t="shared" si="48"/>
        <v>0</v>
      </c>
      <c r="AK277" s="100">
        <v>0</v>
      </c>
      <c r="AL277" s="99">
        <f t="shared" si="49"/>
        <v>0</v>
      </c>
      <c r="AM277" s="99">
        <f t="shared" si="44"/>
        <v>0</v>
      </c>
    </row>
    <row r="278" spans="1:40" hidden="1" x14ac:dyDescent="0.25">
      <c r="A278" s="106" t="s">
        <v>259</v>
      </c>
      <c r="B278" s="79" t="s">
        <v>71</v>
      </c>
      <c r="C278" s="79" t="s">
        <v>127</v>
      </c>
      <c r="D278" s="79" t="s">
        <v>153</v>
      </c>
      <c r="E278" s="79" t="s">
        <v>185</v>
      </c>
      <c r="F278" s="79" t="s">
        <v>186</v>
      </c>
      <c r="G278" s="79" t="s">
        <v>76</v>
      </c>
      <c r="H278" s="79" t="s">
        <v>77</v>
      </c>
      <c r="I278" s="45" t="s">
        <v>78</v>
      </c>
      <c r="J278" s="52" t="s">
        <v>78</v>
      </c>
      <c r="K278" s="52" t="s">
        <v>3</v>
      </c>
      <c r="L278" s="79" t="s">
        <v>125</v>
      </c>
      <c r="M278" s="79"/>
      <c r="N278" s="52" t="s">
        <v>126</v>
      </c>
      <c r="O278" s="52" t="s">
        <v>94</v>
      </c>
      <c r="P278" s="109">
        <v>0.08</v>
      </c>
      <c r="S278" s="100">
        <v>11055.15</v>
      </c>
      <c r="U278" s="100">
        <v>0</v>
      </c>
      <c r="V278" s="100">
        <f t="shared" si="37"/>
        <v>11055.15</v>
      </c>
      <c r="W278" s="100">
        <f t="shared" si="41"/>
        <v>0</v>
      </c>
      <c r="X278" s="100"/>
      <c r="Y278" s="50">
        <f t="shared" si="45"/>
        <v>0</v>
      </c>
      <c r="Z278" s="50">
        <f t="shared" si="46"/>
        <v>0</v>
      </c>
      <c r="AA278" s="100">
        <f t="shared" si="47"/>
        <v>0</v>
      </c>
      <c r="AB278" s="100">
        <f t="shared" si="42"/>
        <v>0</v>
      </c>
      <c r="AC278" s="97">
        <v>0.05</v>
      </c>
      <c r="AG278" s="97">
        <v>0.42</v>
      </c>
      <c r="AH278" s="100">
        <f t="shared" si="43"/>
        <v>0</v>
      </c>
      <c r="AI278" s="100"/>
      <c r="AJ278" s="100">
        <f t="shared" si="48"/>
        <v>0</v>
      </c>
      <c r="AK278" s="100">
        <v>0</v>
      </c>
      <c r="AL278" s="99">
        <f t="shared" si="49"/>
        <v>0</v>
      </c>
      <c r="AM278" s="99">
        <f t="shared" si="44"/>
        <v>0</v>
      </c>
    </row>
    <row r="279" spans="1:40" hidden="1" x14ac:dyDescent="0.25">
      <c r="A279" s="106" t="s">
        <v>259</v>
      </c>
      <c r="B279" s="79" t="s">
        <v>3</v>
      </c>
      <c r="C279" s="79" t="s">
        <v>100</v>
      </c>
      <c r="D279" s="79" t="s">
        <v>101</v>
      </c>
      <c r="E279" s="79" t="s">
        <v>121</v>
      </c>
      <c r="F279" s="79" t="s">
        <v>121</v>
      </c>
      <c r="G279" s="79" t="s">
        <v>121</v>
      </c>
      <c r="H279" s="79" t="s">
        <v>77</v>
      </c>
      <c r="I279" s="45" t="s">
        <v>78</v>
      </c>
      <c r="J279" s="52" t="s">
        <v>78</v>
      </c>
      <c r="K279" s="52" t="s">
        <v>3</v>
      </c>
      <c r="L279" s="79" t="s">
        <v>121</v>
      </c>
      <c r="M279" s="79"/>
      <c r="N279" s="52" t="s">
        <v>86</v>
      </c>
      <c r="O279" s="52" t="s">
        <v>94</v>
      </c>
      <c r="P279" s="109">
        <v>5.5E-2</v>
      </c>
      <c r="S279" s="100">
        <v>159787.41</v>
      </c>
      <c r="U279" s="100">
        <v>7868.62</v>
      </c>
      <c r="V279" s="100">
        <f t="shared" si="37"/>
        <v>151918.79</v>
      </c>
      <c r="W279" s="100">
        <f t="shared" si="41"/>
        <v>7506.4659414225953</v>
      </c>
      <c r="X279" s="100"/>
      <c r="Y279" s="50">
        <f t="shared" si="45"/>
        <v>0</v>
      </c>
      <c r="Z279" s="50">
        <f t="shared" si="46"/>
        <v>7506.4518828451883</v>
      </c>
      <c r="AA279" s="100">
        <f t="shared" si="47"/>
        <v>362.15405857740461</v>
      </c>
      <c r="AB279" s="100">
        <f t="shared" si="42"/>
        <v>7868.62</v>
      </c>
      <c r="AC279" s="97">
        <v>0.05</v>
      </c>
      <c r="AG279" s="97">
        <v>0.14000000000000001</v>
      </c>
      <c r="AH279" s="100">
        <f t="shared" si="43"/>
        <v>7868.6052631578932</v>
      </c>
      <c r="AI279" s="100"/>
      <c r="AJ279" s="100">
        <f t="shared" si="48"/>
        <v>0</v>
      </c>
      <c r="AK279" s="100">
        <v>8970.2099999999991</v>
      </c>
      <c r="AL279" s="99">
        <f t="shared" si="49"/>
        <v>1101.5899999999992</v>
      </c>
      <c r="AM279" s="99">
        <f t="shared" si="44"/>
        <v>7506.4518828451883</v>
      </c>
      <c r="AN279" s="99">
        <f>AM279-W279</f>
        <v>-1.4058577407013217E-2</v>
      </c>
    </row>
    <row r="280" spans="1:40" hidden="1" x14ac:dyDescent="0.25">
      <c r="A280" s="106" t="s">
        <v>259</v>
      </c>
      <c r="B280" s="79" t="s">
        <v>3</v>
      </c>
      <c r="C280" s="79" t="s">
        <v>90</v>
      </c>
      <c r="D280" s="79" t="s">
        <v>114</v>
      </c>
      <c r="E280" s="79" t="s">
        <v>115</v>
      </c>
      <c r="F280" s="79" t="s">
        <v>115</v>
      </c>
      <c r="G280" s="79" t="s">
        <v>115</v>
      </c>
      <c r="H280" s="79" t="s">
        <v>77</v>
      </c>
      <c r="I280" s="45" t="s">
        <v>78</v>
      </c>
      <c r="J280" s="52" t="s">
        <v>78</v>
      </c>
      <c r="K280" s="52" t="s">
        <v>3</v>
      </c>
      <c r="L280" s="79" t="s">
        <v>116</v>
      </c>
      <c r="M280" s="79"/>
      <c r="N280" s="52" t="s">
        <v>86</v>
      </c>
      <c r="O280" s="52" t="s">
        <v>94</v>
      </c>
      <c r="P280" s="46">
        <v>-0.15</v>
      </c>
      <c r="S280" s="100">
        <v>205.52</v>
      </c>
      <c r="U280" s="100">
        <v>0</v>
      </c>
      <c r="V280" s="100">
        <f t="shared" si="37"/>
        <v>205.52</v>
      </c>
      <c r="W280" s="100">
        <f t="shared" si="41"/>
        <v>0</v>
      </c>
      <c r="X280" s="100"/>
      <c r="Y280" s="50">
        <f t="shared" si="45"/>
        <v>0</v>
      </c>
      <c r="Z280" s="50">
        <f t="shared" si="46"/>
        <v>0</v>
      </c>
      <c r="AA280" s="100">
        <f t="shared" si="47"/>
        <v>0</v>
      </c>
      <c r="AB280" s="100">
        <f t="shared" si="42"/>
        <v>0</v>
      </c>
      <c r="AC280" s="97">
        <v>0.05</v>
      </c>
      <c r="AG280" s="46">
        <v>0.26</v>
      </c>
      <c r="AH280" s="100">
        <f t="shared" si="43"/>
        <v>0</v>
      </c>
      <c r="AI280" s="100"/>
      <c r="AJ280" s="100">
        <f t="shared" si="48"/>
        <v>0</v>
      </c>
      <c r="AK280" s="100">
        <v>0</v>
      </c>
      <c r="AL280" s="99">
        <f t="shared" si="49"/>
        <v>0</v>
      </c>
      <c r="AM280" s="99">
        <f t="shared" si="44"/>
        <v>0</v>
      </c>
    </row>
    <row r="281" spans="1:40" hidden="1" x14ac:dyDescent="0.25">
      <c r="A281" s="106" t="s">
        <v>259</v>
      </c>
      <c r="B281" s="79" t="s">
        <v>3</v>
      </c>
      <c r="C281" s="79" t="s">
        <v>72</v>
      </c>
      <c r="D281" s="79" t="s">
        <v>187</v>
      </c>
      <c r="E281" s="79" t="s">
        <v>188</v>
      </c>
      <c r="F281" s="79" t="s">
        <v>188</v>
      </c>
      <c r="G281" s="79" t="s">
        <v>188</v>
      </c>
      <c r="H281" s="79" t="s">
        <v>77</v>
      </c>
      <c r="I281" s="45" t="s">
        <v>78</v>
      </c>
      <c r="J281" s="52" t="s">
        <v>78</v>
      </c>
      <c r="K281" s="52" t="s">
        <v>3</v>
      </c>
      <c r="L281" s="79" t="s">
        <v>188</v>
      </c>
      <c r="M281" s="79"/>
      <c r="N281" s="52" t="s">
        <v>126</v>
      </c>
      <c r="O281" s="52" t="s">
        <v>94</v>
      </c>
      <c r="P281" s="109">
        <v>0.05</v>
      </c>
      <c r="S281" s="100">
        <v>15503.97</v>
      </c>
      <c r="U281" s="100">
        <v>0</v>
      </c>
      <c r="V281" s="100">
        <f t="shared" si="37"/>
        <v>15503.97</v>
      </c>
      <c r="W281" s="100">
        <f t="shared" si="41"/>
        <v>0</v>
      </c>
      <c r="X281" s="100"/>
      <c r="Y281" s="50">
        <f t="shared" si="45"/>
        <v>0</v>
      </c>
      <c r="Z281" s="50">
        <f t="shared" si="46"/>
        <v>0</v>
      </c>
      <c r="AA281" s="100">
        <f t="shared" si="47"/>
        <v>0</v>
      </c>
      <c r="AB281" s="100">
        <f t="shared" si="42"/>
        <v>0</v>
      </c>
      <c r="AC281" s="97">
        <v>0.05</v>
      </c>
      <c r="AG281" s="97">
        <v>0.36</v>
      </c>
      <c r="AH281" s="100">
        <f t="shared" si="43"/>
        <v>0</v>
      </c>
      <c r="AI281" s="100"/>
      <c r="AJ281" s="100">
        <f t="shared" si="48"/>
        <v>0</v>
      </c>
      <c r="AK281" s="100">
        <v>0</v>
      </c>
      <c r="AL281" s="99">
        <f t="shared" si="49"/>
        <v>0</v>
      </c>
      <c r="AM281" s="99">
        <f t="shared" si="44"/>
        <v>0</v>
      </c>
    </row>
    <row r="282" spans="1:40" hidden="1" x14ac:dyDescent="0.25">
      <c r="A282" s="106" t="s">
        <v>259</v>
      </c>
      <c r="B282" s="79" t="s">
        <v>3</v>
      </c>
      <c r="C282" s="79" t="s">
        <v>82</v>
      </c>
      <c r="D282" s="79" t="s">
        <v>83</v>
      </c>
      <c r="E282" s="79" t="s">
        <v>88</v>
      </c>
      <c r="F282" s="79" t="s">
        <v>88</v>
      </c>
      <c r="G282" s="79" t="s">
        <v>88</v>
      </c>
      <c r="H282" s="79" t="s">
        <v>77</v>
      </c>
      <c r="I282" s="45" t="s">
        <v>78</v>
      </c>
      <c r="J282" s="52" t="s">
        <v>78</v>
      </c>
      <c r="K282" s="52" t="s">
        <v>3</v>
      </c>
      <c r="L282" s="79" t="s">
        <v>88</v>
      </c>
      <c r="M282" s="79"/>
      <c r="N282" s="52" t="s">
        <v>86</v>
      </c>
      <c r="O282" s="52" t="s">
        <v>94</v>
      </c>
      <c r="P282" s="109">
        <v>0.01</v>
      </c>
      <c r="S282" s="100">
        <v>13322.0099999961</v>
      </c>
      <c r="U282" s="100">
        <v>11019.56</v>
      </c>
      <c r="V282" s="100">
        <f t="shared" si="37"/>
        <v>2302.4499999961008</v>
      </c>
      <c r="W282" s="100">
        <f t="shared" si="41"/>
        <v>10936.706165413532</v>
      </c>
      <c r="X282" s="100"/>
      <c r="Y282" s="50">
        <f t="shared" si="45"/>
        <v>0</v>
      </c>
      <c r="Z282" s="50">
        <f t="shared" si="46"/>
        <v>10936.984962406015</v>
      </c>
      <c r="AA282" s="100">
        <f t="shared" si="47"/>
        <v>82.853834586467201</v>
      </c>
      <c r="AB282" s="100">
        <f t="shared" si="42"/>
        <v>11019.56</v>
      </c>
      <c r="AC282" s="97">
        <v>0.05</v>
      </c>
      <c r="AG282" s="97">
        <v>0.32</v>
      </c>
      <c r="AH282" s="100">
        <f t="shared" si="43"/>
        <v>11019.840909090908</v>
      </c>
      <c r="AI282" s="100">
        <v>4239.7000000060098</v>
      </c>
      <c r="AJ282" s="100">
        <f t="shared" si="48"/>
        <v>0</v>
      </c>
      <c r="AK282" s="100">
        <v>14546.19</v>
      </c>
      <c r="AL282" s="99">
        <f t="shared" si="49"/>
        <v>7766.3300000060099</v>
      </c>
      <c r="AM282" s="99">
        <f t="shared" si="44"/>
        <v>10936.984962406015</v>
      </c>
      <c r="AN282" s="99">
        <f>AM282-W282</f>
        <v>0.27879699248296674</v>
      </c>
    </row>
    <row r="283" spans="1:40" hidden="1" x14ac:dyDescent="0.25">
      <c r="A283" s="106" t="s">
        <v>259</v>
      </c>
      <c r="B283" s="79" t="s">
        <v>3</v>
      </c>
      <c r="C283" s="79" t="s">
        <v>95</v>
      </c>
      <c r="D283" s="79" t="s">
        <v>96</v>
      </c>
      <c r="E283" s="79" t="s">
        <v>99</v>
      </c>
      <c r="F283" s="79" t="s">
        <v>99</v>
      </c>
      <c r="G283" s="79" t="s">
        <v>99</v>
      </c>
      <c r="H283" s="79" t="s">
        <v>77</v>
      </c>
      <c r="I283" s="45" t="s">
        <v>78</v>
      </c>
      <c r="J283" s="52" t="s">
        <v>78</v>
      </c>
      <c r="K283" s="52" t="s">
        <v>3</v>
      </c>
      <c r="L283" s="79" t="s">
        <v>98</v>
      </c>
      <c r="M283" s="79"/>
      <c r="N283" s="52" t="s">
        <v>86</v>
      </c>
      <c r="O283" s="52" t="s">
        <v>94</v>
      </c>
      <c r="P283" s="109">
        <v>0.03</v>
      </c>
      <c r="S283" s="100">
        <v>5696.55</v>
      </c>
      <c r="U283" s="100">
        <v>0</v>
      </c>
      <c r="V283" s="100">
        <f t="shared" si="37"/>
        <v>5696.55</v>
      </c>
      <c r="W283" s="100">
        <f t="shared" si="41"/>
        <v>0</v>
      </c>
      <c r="X283" s="100"/>
      <c r="Y283" s="50">
        <f t="shared" si="45"/>
        <v>0</v>
      </c>
      <c r="Z283" s="50">
        <f t="shared" si="46"/>
        <v>0</v>
      </c>
      <c r="AA283" s="100">
        <f t="shared" si="47"/>
        <v>0</v>
      </c>
      <c r="AB283" s="100">
        <f t="shared" si="42"/>
        <v>0</v>
      </c>
      <c r="AC283" s="97">
        <v>0.05</v>
      </c>
      <c r="AG283" s="97">
        <v>0</v>
      </c>
      <c r="AH283" s="100">
        <f t="shared" si="43"/>
        <v>0</v>
      </c>
      <c r="AI283" s="100"/>
      <c r="AJ283" s="100">
        <f t="shared" si="48"/>
        <v>0</v>
      </c>
      <c r="AK283" s="100">
        <v>0</v>
      </c>
      <c r="AL283" s="99">
        <f t="shared" si="49"/>
        <v>0</v>
      </c>
      <c r="AM283" s="99">
        <f t="shared" si="44"/>
        <v>0</v>
      </c>
    </row>
    <row r="284" spans="1:40" hidden="1" x14ac:dyDescent="0.25">
      <c r="A284" s="106" t="s">
        <v>259</v>
      </c>
      <c r="B284" s="79" t="s">
        <v>3</v>
      </c>
      <c r="C284" s="79" t="s">
        <v>95</v>
      </c>
      <c r="D284" s="79" t="s">
        <v>96</v>
      </c>
      <c r="E284" s="79" t="s">
        <v>191</v>
      </c>
      <c r="F284" s="79" t="s">
        <v>191</v>
      </c>
      <c r="G284" s="79" t="s">
        <v>191</v>
      </c>
      <c r="H284" s="79" t="s">
        <v>77</v>
      </c>
      <c r="I284" s="45" t="s">
        <v>78</v>
      </c>
      <c r="J284" s="52" t="s">
        <v>78</v>
      </c>
      <c r="K284" s="52" t="s">
        <v>3</v>
      </c>
      <c r="L284" s="79" t="s">
        <v>192</v>
      </c>
      <c r="M284" s="79"/>
      <c r="N284" s="52" t="s">
        <v>86</v>
      </c>
      <c r="O284" s="52" t="s">
        <v>81</v>
      </c>
      <c r="P284" s="109">
        <v>0</v>
      </c>
      <c r="S284" s="100">
        <v>6379.42</v>
      </c>
      <c r="U284" s="100">
        <v>0</v>
      </c>
      <c r="V284" s="100">
        <f t="shared" si="37"/>
        <v>6379.42</v>
      </c>
      <c r="W284" s="100">
        <f t="shared" si="41"/>
        <v>0</v>
      </c>
      <c r="X284" s="100"/>
      <c r="Y284" s="50">
        <f t="shared" si="45"/>
        <v>0</v>
      </c>
      <c r="Z284" s="50">
        <f t="shared" si="46"/>
        <v>0</v>
      </c>
      <c r="AA284" s="100">
        <f t="shared" si="47"/>
        <v>0</v>
      </c>
      <c r="AB284" s="100">
        <f t="shared" si="42"/>
        <v>0</v>
      </c>
      <c r="AC284" s="97">
        <v>0.05</v>
      </c>
      <c r="AG284" s="97">
        <v>0.11</v>
      </c>
      <c r="AH284" s="100">
        <f t="shared" si="43"/>
        <v>0</v>
      </c>
      <c r="AI284" s="100"/>
      <c r="AJ284" s="100">
        <f t="shared" si="48"/>
        <v>0</v>
      </c>
      <c r="AK284" s="100">
        <v>0</v>
      </c>
      <c r="AL284" s="99">
        <f t="shared" si="49"/>
        <v>0</v>
      </c>
      <c r="AM284" s="99">
        <f t="shared" si="44"/>
        <v>0</v>
      </c>
    </row>
    <row r="285" spans="1:40" hidden="1" x14ac:dyDescent="0.25">
      <c r="A285" s="106" t="s">
        <v>259</v>
      </c>
      <c r="B285" s="79" t="s">
        <v>3</v>
      </c>
      <c r="C285" s="79" t="s">
        <v>81</v>
      </c>
      <c r="D285" s="79" t="s">
        <v>81</v>
      </c>
      <c r="E285" s="79" t="s">
        <v>108</v>
      </c>
      <c r="F285" s="79" t="s">
        <v>108</v>
      </c>
      <c r="G285" s="79" t="s">
        <v>108</v>
      </c>
      <c r="H285" s="79" t="s">
        <v>77</v>
      </c>
      <c r="I285" s="45" t="s">
        <v>78</v>
      </c>
      <c r="J285" s="52" t="s">
        <v>78</v>
      </c>
      <c r="K285" s="52" t="s">
        <v>3</v>
      </c>
      <c r="L285" s="79" t="s">
        <v>108</v>
      </c>
      <c r="M285" s="79"/>
      <c r="N285" s="52" t="s">
        <v>86</v>
      </c>
      <c r="O285" s="52" t="s">
        <v>81</v>
      </c>
      <c r="P285" s="109">
        <v>0</v>
      </c>
      <c r="S285" s="100">
        <v>16543.599999999999</v>
      </c>
      <c r="U285" s="100">
        <v>29.95</v>
      </c>
      <c r="V285" s="100">
        <f t="shared" si="37"/>
        <v>16513.649999999998</v>
      </c>
      <c r="W285" s="100">
        <f t="shared" si="41"/>
        <v>29.95</v>
      </c>
      <c r="X285" s="100"/>
      <c r="Y285" s="50">
        <f t="shared" si="45"/>
        <v>0</v>
      </c>
      <c r="Z285" s="50">
        <f t="shared" si="46"/>
        <v>21.091549295774648</v>
      </c>
      <c r="AA285" s="100">
        <f t="shared" si="47"/>
        <v>0</v>
      </c>
      <c r="AB285" s="100">
        <f t="shared" si="42"/>
        <v>29.95</v>
      </c>
      <c r="AC285" s="97">
        <v>0.05</v>
      </c>
      <c r="AG285" s="97">
        <v>0.42</v>
      </c>
      <c r="AH285" s="100">
        <f t="shared" si="43"/>
        <v>21.091549295774648</v>
      </c>
      <c r="AI285" s="100"/>
      <c r="AJ285" s="100">
        <f t="shared" si="48"/>
        <v>0</v>
      </c>
      <c r="AK285" s="100">
        <v>29.95</v>
      </c>
      <c r="AL285" s="99">
        <f t="shared" si="49"/>
        <v>0</v>
      </c>
      <c r="AM285" s="99">
        <f t="shared" si="44"/>
        <v>21.091549295774648</v>
      </c>
      <c r="AN285" s="99">
        <f>AM285-W285</f>
        <v>-8.8584507042253513</v>
      </c>
    </row>
    <row r="286" spans="1:40" hidden="1" x14ac:dyDescent="0.25">
      <c r="A286" s="106" t="s">
        <v>259</v>
      </c>
      <c r="B286" s="79" t="s">
        <v>3</v>
      </c>
      <c r="C286" s="79" t="s">
        <v>81</v>
      </c>
      <c r="D286" s="79" t="s">
        <v>81</v>
      </c>
      <c r="E286" s="79" t="s">
        <v>253</v>
      </c>
      <c r="F286" s="79" t="s">
        <v>253</v>
      </c>
      <c r="G286" s="79" t="s">
        <v>253</v>
      </c>
      <c r="H286" s="79" t="s">
        <v>77</v>
      </c>
      <c r="I286" s="45" t="s">
        <v>78</v>
      </c>
      <c r="J286" s="52" t="s">
        <v>78</v>
      </c>
      <c r="K286" s="52" t="s">
        <v>3</v>
      </c>
      <c r="L286" s="79" t="s">
        <v>253</v>
      </c>
      <c r="M286" s="79"/>
      <c r="N286" s="52" t="s">
        <v>86</v>
      </c>
      <c r="O286" s="52" t="s">
        <v>81</v>
      </c>
      <c r="P286" s="109">
        <v>0</v>
      </c>
      <c r="S286" s="100">
        <v>-1.02</v>
      </c>
      <c r="U286" s="100">
        <v>0</v>
      </c>
      <c r="V286" s="100">
        <f t="shared" si="37"/>
        <v>-1.02</v>
      </c>
      <c r="W286" s="100">
        <f t="shared" si="41"/>
        <v>0</v>
      </c>
      <c r="X286" s="100"/>
      <c r="Y286" s="50">
        <f t="shared" si="45"/>
        <v>0</v>
      </c>
      <c r="Z286" s="50">
        <f t="shared" si="46"/>
        <v>0</v>
      </c>
      <c r="AA286" s="100">
        <f t="shared" si="47"/>
        <v>0</v>
      </c>
      <c r="AB286" s="100">
        <f t="shared" si="42"/>
        <v>0</v>
      </c>
      <c r="AC286" s="97">
        <v>0.05</v>
      </c>
      <c r="AG286" s="97">
        <v>0.42</v>
      </c>
      <c r="AH286" s="100">
        <f t="shared" si="43"/>
        <v>0</v>
      </c>
      <c r="AI286" s="100"/>
      <c r="AJ286" s="100">
        <f t="shared" si="48"/>
        <v>0</v>
      </c>
      <c r="AK286" s="100">
        <v>0</v>
      </c>
      <c r="AL286" s="99">
        <f t="shared" si="49"/>
        <v>0</v>
      </c>
      <c r="AM286" s="99">
        <f t="shared" si="44"/>
        <v>0</v>
      </c>
    </row>
    <row r="287" spans="1:40" hidden="1" x14ac:dyDescent="0.25">
      <c r="A287" s="106" t="s">
        <v>259</v>
      </c>
      <c r="B287" s="79" t="s">
        <v>3</v>
      </c>
      <c r="C287" s="79" t="s">
        <v>193</v>
      </c>
      <c r="D287" s="79" t="s">
        <v>194</v>
      </c>
      <c r="E287" s="79" t="s">
        <v>261</v>
      </c>
      <c r="F287" s="79" t="s">
        <v>262</v>
      </c>
      <c r="G287" s="79" t="s">
        <v>261</v>
      </c>
      <c r="H287" s="79" t="s">
        <v>77</v>
      </c>
      <c r="I287" s="45" t="s">
        <v>78</v>
      </c>
      <c r="J287" s="52" t="s">
        <v>78</v>
      </c>
      <c r="K287" s="52" t="s">
        <v>3</v>
      </c>
      <c r="L287" s="79" t="s">
        <v>263</v>
      </c>
      <c r="M287" s="79"/>
      <c r="N287" s="52" t="s">
        <v>86</v>
      </c>
      <c r="O287" s="52" t="s">
        <v>81</v>
      </c>
      <c r="P287" s="109">
        <v>0</v>
      </c>
      <c r="Q287" s="79"/>
      <c r="S287" s="100">
        <v>0</v>
      </c>
      <c r="U287" s="100">
        <v>25.54</v>
      </c>
      <c r="V287" s="100">
        <f t="shared" si="37"/>
        <v>-25.54</v>
      </c>
      <c r="W287" s="100">
        <f t="shared" si="41"/>
        <v>25.54</v>
      </c>
      <c r="X287" s="100"/>
      <c r="Y287" s="50">
        <f t="shared" si="45"/>
        <v>0</v>
      </c>
      <c r="Z287" s="50">
        <f t="shared" si="46"/>
        <v>70.569999999999993</v>
      </c>
      <c r="AA287" s="100">
        <f t="shared" si="47"/>
        <v>0</v>
      </c>
      <c r="AB287" s="100">
        <f t="shared" si="42"/>
        <v>25.54</v>
      </c>
      <c r="AC287" s="97">
        <v>0.05</v>
      </c>
      <c r="AG287" s="97">
        <v>0</v>
      </c>
      <c r="AH287" s="100">
        <f t="shared" si="43"/>
        <v>70.569999999999993</v>
      </c>
      <c r="AI287" s="100">
        <v>0</v>
      </c>
      <c r="AJ287" s="100">
        <f t="shared" si="48"/>
        <v>0</v>
      </c>
      <c r="AK287" s="100">
        <v>70.569999999999993</v>
      </c>
      <c r="AL287" s="99">
        <f t="shared" si="49"/>
        <v>45.029999999999994</v>
      </c>
      <c r="AM287" s="99">
        <f t="shared" si="44"/>
        <v>70.569999999999993</v>
      </c>
      <c r="AN287" s="99">
        <f>AM287-W287</f>
        <v>45.029999999999994</v>
      </c>
    </row>
    <row r="288" spans="1:40" hidden="1" x14ac:dyDescent="0.25">
      <c r="A288" s="106" t="s">
        <v>259</v>
      </c>
      <c r="B288" s="52" t="s">
        <v>3</v>
      </c>
      <c r="C288" s="52" t="s">
        <v>82</v>
      </c>
      <c r="D288" s="52" t="s">
        <v>83</v>
      </c>
      <c r="E288" s="52" t="s">
        <v>88</v>
      </c>
      <c r="F288" s="52" t="s">
        <v>88</v>
      </c>
      <c r="G288" s="52" t="s">
        <v>88</v>
      </c>
      <c r="H288" s="52" t="s">
        <v>77</v>
      </c>
      <c r="I288" s="45" t="s">
        <v>78</v>
      </c>
      <c r="J288" s="52" t="s">
        <v>78</v>
      </c>
      <c r="K288" s="52" t="s">
        <v>3</v>
      </c>
      <c r="L288" s="52" t="s">
        <v>232</v>
      </c>
      <c r="N288" s="52" t="s">
        <v>201</v>
      </c>
      <c r="O288" s="52" t="s">
        <v>81</v>
      </c>
      <c r="P288" s="105">
        <v>0</v>
      </c>
      <c r="Q288" s="111"/>
      <c r="R288" s="98" t="s">
        <v>54</v>
      </c>
      <c r="S288" s="104">
        <v>0</v>
      </c>
      <c r="T288" s="104">
        <v>5310141.67</v>
      </c>
      <c r="U288" s="104">
        <v>6400000</v>
      </c>
      <c r="V288" s="104"/>
      <c r="W288" s="104">
        <v>6410256.4100000001</v>
      </c>
      <c r="X288" s="104">
        <v>384615.38490566</v>
      </c>
      <c r="Y288" s="50">
        <f t="shared" si="45"/>
        <v>2705506.41</v>
      </c>
      <c r="Z288" s="50">
        <f t="shared" si="46"/>
        <v>6794871.7949056597</v>
      </c>
      <c r="AA288" s="100">
        <f t="shared" si="47"/>
        <v>-10256.410000000149</v>
      </c>
      <c r="AB288" s="104">
        <v>3704750</v>
      </c>
      <c r="AC288" s="105">
        <v>0.05</v>
      </c>
      <c r="AD288" s="104">
        <f>AB288*AC288</f>
        <v>185237.5</v>
      </c>
      <c r="AE288" s="104"/>
      <c r="AF288" s="104"/>
      <c r="AG288" s="105">
        <v>0</v>
      </c>
      <c r="AH288" s="104">
        <f>AB288</f>
        <v>3704750</v>
      </c>
      <c r="AI288" s="104">
        <v>0</v>
      </c>
      <c r="AJ288" s="104"/>
    </row>
    <row r="289" spans="1:40" hidden="1" x14ac:dyDescent="0.25">
      <c r="A289" s="106" t="s">
        <v>259</v>
      </c>
      <c r="B289" s="52" t="s">
        <v>3</v>
      </c>
      <c r="C289" s="52" t="s">
        <v>82</v>
      </c>
      <c r="D289" s="52" t="s">
        <v>83</v>
      </c>
      <c r="E289" s="52" t="s">
        <v>88</v>
      </c>
      <c r="F289" s="52" t="s">
        <v>88</v>
      </c>
      <c r="G289" s="52" t="s">
        <v>88</v>
      </c>
      <c r="H289" s="52" t="s">
        <v>202</v>
      </c>
      <c r="I289" s="45" t="s">
        <v>203</v>
      </c>
      <c r="J289" s="52" t="s">
        <v>244</v>
      </c>
      <c r="K289" s="52" t="s">
        <v>3</v>
      </c>
      <c r="L289" s="52" t="s">
        <v>232</v>
      </c>
      <c r="N289" s="52" t="s">
        <v>86</v>
      </c>
      <c r="O289" s="52" t="s">
        <v>81</v>
      </c>
      <c r="P289" s="105">
        <v>0</v>
      </c>
      <c r="Q289" s="111"/>
      <c r="R289" s="98" t="s">
        <v>205</v>
      </c>
      <c r="S289" s="104">
        <v>0</v>
      </c>
      <c r="T289" s="104">
        <v>74371.509999999995</v>
      </c>
      <c r="U289" s="104">
        <v>74371.509999999995</v>
      </c>
      <c r="V289" s="104"/>
      <c r="W289" s="104">
        <v>0</v>
      </c>
      <c r="X289" s="104"/>
      <c r="Y289" s="50">
        <f t="shared" si="45"/>
        <v>0</v>
      </c>
      <c r="Z289" s="50">
        <f t="shared" si="46"/>
        <v>0</v>
      </c>
      <c r="AA289" s="100">
        <f t="shared" si="47"/>
        <v>74371.509999999995</v>
      </c>
      <c r="AB289" s="104">
        <v>74371.509999999995</v>
      </c>
      <c r="AC289" s="105">
        <v>0</v>
      </c>
      <c r="AD289" s="104">
        <f t="shared" ref="AD289:AD292" si="50">AB289*AC289</f>
        <v>0</v>
      </c>
      <c r="AE289" s="104"/>
      <c r="AF289" s="104"/>
      <c r="AG289" s="105">
        <v>0</v>
      </c>
      <c r="AH289" s="104">
        <f>AB289</f>
        <v>74371.509999999995</v>
      </c>
      <c r="AI289" s="104">
        <v>0</v>
      </c>
      <c r="AJ289" s="104"/>
    </row>
    <row r="290" spans="1:40" hidden="1" x14ac:dyDescent="0.25">
      <c r="A290" s="106" t="s">
        <v>259</v>
      </c>
      <c r="B290" s="52" t="s">
        <v>3</v>
      </c>
      <c r="C290" s="52" t="s">
        <v>95</v>
      </c>
      <c r="D290" s="52" t="s">
        <v>96</v>
      </c>
      <c r="E290" s="52" t="s">
        <v>192</v>
      </c>
      <c r="F290" s="52" t="s">
        <v>192</v>
      </c>
      <c r="G290" s="52" t="s">
        <v>192</v>
      </c>
      <c r="H290" s="52" t="s">
        <v>77</v>
      </c>
      <c r="I290" s="45" t="s">
        <v>78</v>
      </c>
      <c r="J290" s="52" t="s">
        <v>78</v>
      </c>
      <c r="K290" s="52" t="s">
        <v>3</v>
      </c>
      <c r="L290" s="52" t="s">
        <v>232</v>
      </c>
      <c r="N290" s="52" t="s">
        <v>201</v>
      </c>
      <c r="O290" s="52" t="s">
        <v>81</v>
      </c>
      <c r="P290" s="105">
        <v>0</v>
      </c>
      <c r="Q290" s="111"/>
      <c r="R290" s="98"/>
      <c r="S290" s="104">
        <v>0</v>
      </c>
      <c r="T290" s="104">
        <v>95400</v>
      </c>
      <c r="U290" s="104">
        <v>95400</v>
      </c>
      <c r="V290" s="104"/>
      <c r="W290" s="104">
        <f>U290</f>
        <v>95400</v>
      </c>
      <c r="X290" s="104"/>
      <c r="Y290" s="50">
        <f t="shared" si="45"/>
        <v>0</v>
      </c>
      <c r="Z290" s="50">
        <f t="shared" si="46"/>
        <v>95400</v>
      </c>
      <c r="AA290" s="100">
        <f t="shared" si="47"/>
        <v>0</v>
      </c>
      <c r="AB290" s="104">
        <v>95400</v>
      </c>
      <c r="AC290" s="105">
        <v>0.05</v>
      </c>
      <c r="AD290" s="104">
        <f t="shared" si="50"/>
        <v>4770</v>
      </c>
      <c r="AE290" s="104"/>
      <c r="AF290" s="104"/>
      <c r="AG290" s="105">
        <v>0</v>
      </c>
      <c r="AH290" s="104">
        <f>AB290</f>
        <v>95400</v>
      </c>
      <c r="AI290" s="104">
        <v>0</v>
      </c>
      <c r="AJ290" s="104"/>
    </row>
    <row r="291" spans="1:40" hidden="1" x14ac:dyDescent="0.25">
      <c r="A291" s="106" t="s">
        <v>259</v>
      </c>
      <c r="B291" s="112" t="s">
        <v>71</v>
      </c>
      <c r="C291" s="112" t="s">
        <v>82</v>
      </c>
      <c r="D291" s="112" t="s">
        <v>208</v>
      </c>
      <c r="E291" s="112" t="s">
        <v>214</v>
      </c>
      <c r="F291" s="112" t="s">
        <v>264</v>
      </c>
      <c r="G291" s="79" t="s">
        <v>76</v>
      </c>
      <c r="H291" s="112" t="s">
        <v>210</v>
      </c>
      <c r="I291" s="45" t="s">
        <v>203</v>
      </c>
      <c r="J291" s="112" t="s">
        <v>265</v>
      </c>
      <c r="K291" s="52" t="s">
        <v>3</v>
      </c>
      <c r="L291" s="112" t="s">
        <v>232</v>
      </c>
      <c r="M291" s="112"/>
      <c r="N291" s="112" t="s">
        <v>212</v>
      </c>
      <c r="O291" s="112" t="s">
        <v>249</v>
      </c>
      <c r="P291" s="113">
        <v>0.99</v>
      </c>
      <c r="Q291" s="114" t="s">
        <v>232</v>
      </c>
      <c r="R291" s="112" t="s">
        <v>213</v>
      </c>
      <c r="S291" s="115">
        <v>0</v>
      </c>
      <c r="T291" s="115">
        <v>15060000</v>
      </c>
      <c r="U291" s="115">
        <v>15060000</v>
      </c>
      <c r="V291" s="116">
        <f t="shared" ref="V291" si="51">S291+T291-U291</f>
        <v>0</v>
      </c>
      <c r="W291" s="116">
        <f t="shared" ref="W291" si="52">IF(O291="折扣",U291*P291,IF(O291="返现",U291,U291/(1+P291)))</f>
        <v>14909400</v>
      </c>
      <c r="X291" s="115"/>
      <c r="Y291" s="50">
        <f t="shared" si="45"/>
        <v>0</v>
      </c>
      <c r="Z291" s="50">
        <f t="shared" si="46"/>
        <v>14909400</v>
      </c>
      <c r="AA291" s="116">
        <f t="shared" si="47"/>
        <v>150600</v>
      </c>
      <c r="AB291" s="115">
        <v>15060000</v>
      </c>
      <c r="AC291" s="113">
        <v>0</v>
      </c>
      <c r="AD291" s="115">
        <f t="shared" si="50"/>
        <v>0</v>
      </c>
      <c r="AE291" s="115"/>
      <c r="AF291" s="115"/>
      <c r="AG291" s="113">
        <v>0</v>
      </c>
      <c r="AH291" s="115">
        <f>AB291</f>
        <v>15060000</v>
      </c>
      <c r="AI291" s="112"/>
      <c r="AJ291" s="112"/>
      <c r="AK291" s="112"/>
      <c r="AL291" s="112"/>
      <c r="AM291" s="112"/>
    </row>
    <row r="292" spans="1:40" hidden="1" x14ac:dyDescent="0.25">
      <c r="A292" s="106" t="s">
        <v>259</v>
      </c>
      <c r="B292" s="52" t="s">
        <v>3</v>
      </c>
      <c r="C292" s="52" t="s">
        <v>82</v>
      </c>
      <c r="D292" s="52" t="s">
        <v>83</v>
      </c>
      <c r="E292" s="52" t="s">
        <v>88</v>
      </c>
      <c r="F292" s="52" t="s">
        <v>88</v>
      </c>
      <c r="G292" s="52" t="s">
        <v>88</v>
      </c>
      <c r="H292" s="52" t="s">
        <v>77</v>
      </c>
      <c r="I292" s="45" t="s">
        <v>78</v>
      </c>
      <c r="J292" s="52" t="s">
        <v>78</v>
      </c>
      <c r="K292" s="52" t="s">
        <v>3</v>
      </c>
      <c r="L292" s="52" t="s">
        <v>232</v>
      </c>
      <c r="N292" s="52" t="s">
        <v>201</v>
      </c>
      <c r="O292" s="79" t="s">
        <v>94</v>
      </c>
      <c r="P292" s="78">
        <v>0.01</v>
      </c>
      <c r="Q292" s="111"/>
      <c r="R292" s="98" t="s">
        <v>258</v>
      </c>
      <c r="S292" s="104">
        <v>0</v>
      </c>
      <c r="U292" s="104">
        <v>25409.77</v>
      </c>
      <c r="V292" s="104"/>
      <c r="W292" s="104">
        <f>U292*(1+AG292)/(1+P292+AG292)</f>
        <v>25218.719097744364</v>
      </c>
      <c r="X292" s="104"/>
      <c r="Y292" s="50">
        <f t="shared" si="45"/>
        <v>0</v>
      </c>
      <c r="Z292" s="50">
        <f t="shared" si="46"/>
        <v>25218.719097744364</v>
      </c>
      <c r="AA292" s="104"/>
      <c r="AB292" s="104">
        <v>25409.77</v>
      </c>
      <c r="AC292" s="105">
        <v>0.05</v>
      </c>
      <c r="AD292" s="104">
        <f t="shared" si="50"/>
        <v>1270.4885000000002</v>
      </c>
      <c r="AG292" s="105">
        <v>0.32</v>
      </c>
      <c r="AH292" s="104">
        <f>AB292</f>
        <v>25409.77</v>
      </c>
      <c r="AI292" s="104">
        <v>0</v>
      </c>
    </row>
    <row r="293" spans="1:40" hidden="1" x14ac:dyDescent="0.25">
      <c r="A293" s="106" t="s">
        <v>259</v>
      </c>
      <c r="B293" s="79" t="s">
        <v>71</v>
      </c>
      <c r="C293" s="79" t="s">
        <v>127</v>
      </c>
      <c r="D293" s="79" t="s">
        <v>153</v>
      </c>
      <c r="E293" s="79" t="s">
        <v>266</v>
      </c>
      <c r="F293" s="79" t="s">
        <v>267</v>
      </c>
      <c r="G293" s="79" t="s">
        <v>76</v>
      </c>
      <c r="H293" s="79" t="s">
        <v>77</v>
      </c>
      <c r="I293" s="45" t="s">
        <v>78</v>
      </c>
      <c r="J293" s="52" t="s">
        <v>78</v>
      </c>
      <c r="K293" s="52" t="s">
        <v>3</v>
      </c>
      <c r="L293" s="79" t="s">
        <v>125</v>
      </c>
      <c r="M293" s="79"/>
      <c r="N293" s="52" t="s">
        <v>126</v>
      </c>
      <c r="O293" s="52" t="s">
        <v>94</v>
      </c>
      <c r="P293" s="109">
        <v>0.13</v>
      </c>
      <c r="S293" s="100">
        <v>20.729999999996402</v>
      </c>
      <c r="U293" s="100">
        <v>0</v>
      </c>
      <c r="V293" s="100">
        <f t="shared" ref="V293:V294" si="53">S293+T293-U293</f>
        <v>20.729999999996402</v>
      </c>
      <c r="W293" s="100">
        <f>IF(O293="折扣",U293*P293,IF(O293="返现",U293,U293*(1+AG293)/(1+P293+AG293)))</f>
        <v>0</v>
      </c>
      <c r="X293" s="100"/>
      <c r="Y293" s="50">
        <f t="shared" si="45"/>
        <v>0</v>
      </c>
      <c r="Z293" s="50">
        <f t="shared" si="46"/>
        <v>0</v>
      </c>
      <c r="AA293" s="100">
        <f t="shared" ref="AA293:AA324" si="54">IF(O293="返现",W293*P293,U293-W293)</f>
        <v>0</v>
      </c>
      <c r="AB293" s="100">
        <f t="shared" ref="AB293:AB299" si="55">U293</f>
        <v>0</v>
      </c>
      <c r="AC293" s="97">
        <v>0.05</v>
      </c>
      <c r="AG293" s="97">
        <v>0.42</v>
      </c>
      <c r="AH293" s="100">
        <f t="shared" ref="AH293:AH294" si="56">AK293/(1+AG293)</f>
        <v>0</v>
      </c>
      <c r="AI293" s="100"/>
      <c r="AJ293" s="100">
        <f t="shared" ref="AJ293:AJ324" si="57">T293*AG293</f>
        <v>0</v>
      </c>
      <c r="AK293" s="100">
        <v>0</v>
      </c>
      <c r="AL293" s="99">
        <f>AI293+AJ293+AK293-U293</f>
        <v>0</v>
      </c>
      <c r="AM293" s="99">
        <f>IF(O293="折扣",AK293*P293,IF(O293="返现",AK293/(1+AG293),AK293/(1+P293+AG293)))</f>
        <v>0</v>
      </c>
    </row>
    <row r="294" spans="1:40" hidden="1" x14ac:dyDescent="0.25">
      <c r="A294" s="106" t="s">
        <v>259</v>
      </c>
      <c r="B294" s="79" t="s">
        <v>71</v>
      </c>
      <c r="C294" s="79" t="s">
        <v>127</v>
      </c>
      <c r="D294" s="79" t="s">
        <v>128</v>
      </c>
      <c r="E294" s="79" t="s">
        <v>268</v>
      </c>
      <c r="F294" s="79" t="s">
        <v>269</v>
      </c>
      <c r="G294" s="79" t="s">
        <v>76</v>
      </c>
      <c r="H294" s="79" t="s">
        <v>77</v>
      </c>
      <c r="I294" s="45" t="s">
        <v>78</v>
      </c>
      <c r="J294" s="52" t="s">
        <v>78</v>
      </c>
      <c r="K294" s="52" t="s">
        <v>3</v>
      </c>
      <c r="L294" s="79" t="s">
        <v>125</v>
      </c>
      <c r="M294" s="79"/>
      <c r="N294" s="52" t="s">
        <v>126</v>
      </c>
      <c r="O294" s="52" t="s">
        <v>94</v>
      </c>
      <c r="P294" s="109">
        <v>0.03</v>
      </c>
      <c r="S294" s="100">
        <v>22.61</v>
      </c>
      <c r="U294" s="100">
        <v>0</v>
      </c>
      <c r="V294" s="100">
        <f t="shared" si="53"/>
        <v>22.61</v>
      </c>
      <c r="W294" s="100">
        <f>IF(O294="折扣",U294*P294,IF(O294="返现",U294,U294*(1+AG294)/(1+P294+AG294)))</f>
        <v>0</v>
      </c>
      <c r="X294" s="100"/>
      <c r="Y294" s="50">
        <f t="shared" si="45"/>
        <v>0</v>
      </c>
      <c r="Z294" s="50">
        <f t="shared" si="46"/>
        <v>0</v>
      </c>
      <c r="AA294" s="100">
        <f t="shared" si="54"/>
        <v>0</v>
      </c>
      <c r="AB294" s="100">
        <f t="shared" si="55"/>
        <v>0</v>
      </c>
      <c r="AC294" s="97">
        <v>0.05</v>
      </c>
      <c r="AG294" s="97">
        <v>0.42</v>
      </c>
      <c r="AH294" s="100">
        <f t="shared" si="56"/>
        <v>0</v>
      </c>
      <c r="AI294" s="100"/>
      <c r="AJ294" s="100">
        <f t="shared" si="57"/>
        <v>0</v>
      </c>
      <c r="AK294" s="100">
        <v>0</v>
      </c>
      <c r="AL294" s="99">
        <f>AI294+AJ294+AK294-U294</f>
        <v>0</v>
      </c>
      <c r="AM294" s="99">
        <f>IF(O294="折扣",AK294*P294,IF(O294="返现",AK294/(1+AG294),AK294/(1+P294+AG294)))</f>
        <v>0</v>
      </c>
    </row>
    <row r="295" spans="1:40" hidden="1" x14ac:dyDescent="0.25">
      <c r="A295" s="106" t="s">
        <v>259</v>
      </c>
      <c r="B295" s="79" t="s">
        <v>71</v>
      </c>
      <c r="C295" s="79" t="s">
        <v>127</v>
      </c>
      <c r="D295" s="79" t="s">
        <v>128</v>
      </c>
      <c r="E295" s="79" t="s">
        <v>270</v>
      </c>
      <c r="F295" s="79" t="s">
        <v>271</v>
      </c>
      <c r="G295" s="79" t="s">
        <v>76</v>
      </c>
      <c r="H295" s="79" t="s">
        <v>77</v>
      </c>
      <c r="I295" s="45" t="s">
        <v>78</v>
      </c>
      <c r="J295" s="52" t="s">
        <v>78</v>
      </c>
      <c r="K295" s="52" t="s">
        <v>3</v>
      </c>
      <c r="L295" s="79" t="s">
        <v>125</v>
      </c>
      <c r="M295" s="79"/>
      <c r="N295" s="52" t="s">
        <v>126</v>
      </c>
      <c r="O295" s="52" t="s">
        <v>94</v>
      </c>
      <c r="P295" s="109">
        <v>0.13</v>
      </c>
      <c r="S295" s="100">
        <v>29.53</v>
      </c>
      <c r="U295" s="100">
        <v>0</v>
      </c>
      <c r="V295" s="100">
        <f t="shared" ref="V295:V296" si="58">S295+T295-U295</f>
        <v>29.53</v>
      </c>
      <c r="W295" s="100">
        <f>IF(O295="折扣",U295*P295,IF(O295="返现",U295,U295*(1+AG295)/(1+P295+AG295)))</f>
        <v>0</v>
      </c>
      <c r="X295" s="100"/>
      <c r="Y295" s="50">
        <f t="shared" si="45"/>
        <v>0</v>
      </c>
      <c r="Z295" s="50">
        <f t="shared" si="46"/>
        <v>0</v>
      </c>
      <c r="AA295" s="100">
        <f t="shared" si="54"/>
        <v>0</v>
      </c>
      <c r="AB295" s="100">
        <f t="shared" si="55"/>
        <v>0</v>
      </c>
      <c r="AC295" s="97">
        <v>0.05</v>
      </c>
      <c r="AG295" s="97">
        <v>0.42</v>
      </c>
      <c r="AH295" s="100">
        <f t="shared" ref="AH295:AH296" si="59">AK295/(1+AG295)</f>
        <v>0</v>
      </c>
      <c r="AI295" s="100"/>
      <c r="AJ295" s="100">
        <f t="shared" si="57"/>
        <v>0</v>
      </c>
      <c r="AK295" s="100">
        <v>0</v>
      </c>
      <c r="AL295" s="99">
        <f>AI295+AJ295+AK295-U295</f>
        <v>0</v>
      </c>
      <c r="AM295" s="99">
        <f>IF(O295="折扣",AK295*P295,IF(O295="返现",AK295/(1+AG295),AK295/(1+P295+AG295)))</f>
        <v>0</v>
      </c>
    </row>
    <row r="296" spans="1:40" hidden="1" x14ac:dyDescent="0.25">
      <c r="A296" s="106" t="s">
        <v>259</v>
      </c>
      <c r="B296" s="79" t="s">
        <v>71</v>
      </c>
      <c r="C296" s="79" t="s">
        <v>127</v>
      </c>
      <c r="D296" s="79" t="s">
        <v>128</v>
      </c>
      <c r="E296" s="79" t="s">
        <v>272</v>
      </c>
      <c r="F296" s="79" t="s">
        <v>273</v>
      </c>
      <c r="G296" s="79" t="s">
        <v>76</v>
      </c>
      <c r="H296" s="79" t="s">
        <v>77</v>
      </c>
      <c r="I296" s="45" t="s">
        <v>78</v>
      </c>
      <c r="J296" s="52" t="s">
        <v>78</v>
      </c>
      <c r="K296" s="52" t="s">
        <v>3</v>
      </c>
      <c r="L296" s="79" t="s">
        <v>125</v>
      </c>
      <c r="M296" s="79"/>
      <c r="N296" s="52" t="s">
        <v>126</v>
      </c>
      <c r="O296" s="52" t="s">
        <v>94</v>
      </c>
      <c r="P296" s="109">
        <v>0.21</v>
      </c>
      <c r="S296" s="48">
        <v>1.90619718309881</v>
      </c>
      <c r="U296" s="100">
        <v>0</v>
      </c>
      <c r="V296" s="100">
        <f t="shared" si="58"/>
        <v>1.90619718309881</v>
      </c>
      <c r="W296" s="100">
        <f>IF(O296="折扣",U296*P296,IF(O296="返现",U296,U296*(1+AG296)/(1+P296+AG296)))</f>
        <v>0</v>
      </c>
      <c r="X296" s="100"/>
      <c r="Y296" s="50">
        <f t="shared" si="45"/>
        <v>0</v>
      </c>
      <c r="Z296" s="50">
        <f t="shared" si="46"/>
        <v>0</v>
      </c>
      <c r="AA296" s="100">
        <f t="shared" si="54"/>
        <v>0</v>
      </c>
      <c r="AB296" s="100">
        <f t="shared" si="55"/>
        <v>0</v>
      </c>
      <c r="AC296" s="97">
        <v>0.05</v>
      </c>
      <c r="AG296" s="97">
        <v>0.42</v>
      </c>
      <c r="AH296" s="100">
        <f t="shared" si="59"/>
        <v>0</v>
      </c>
      <c r="AI296" s="100"/>
      <c r="AJ296" s="100">
        <f t="shared" si="57"/>
        <v>0</v>
      </c>
      <c r="AK296" s="100">
        <v>0</v>
      </c>
      <c r="AL296" s="99">
        <f>AI296+AJ296+AK296-U296</f>
        <v>0</v>
      </c>
      <c r="AM296" s="99">
        <f>IF(O296="折扣",AK296*P296,IF(O296="返现",AK296/(1+AG296),AK296/(1+P296+AG296)))</f>
        <v>0</v>
      </c>
    </row>
    <row r="297" spans="1:40" hidden="1" x14ac:dyDescent="0.25">
      <c r="A297" s="106" t="s">
        <v>259</v>
      </c>
      <c r="B297" s="79" t="s">
        <v>71</v>
      </c>
      <c r="C297" s="79" t="s">
        <v>127</v>
      </c>
      <c r="D297" s="79" t="s">
        <v>128</v>
      </c>
      <c r="E297" s="79" t="s">
        <v>274</v>
      </c>
      <c r="F297" s="79" t="s">
        <v>275</v>
      </c>
      <c r="G297" s="79" t="s">
        <v>76</v>
      </c>
      <c r="H297" s="79" t="s">
        <v>77</v>
      </c>
      <c r="I297" s="45" t="s">
        <v>78</v>
      </c>
      <c r="J297" s="52" t="s">
        <v>78</v>
      </c>
      <c r="K297" s="52" t="s">
        <v>3</v>
      </c>
      <c r="L297" s="79" t="s">
        <v>125</v>
      </c>
      <c r="M297" s="79"/>
      <c r="N297" s="52" t="s">
        <v>126</v>
      </c>
      <c r="O297" s="52" t="s">
        <v>94</v>
      </c>
      <c r="P297" s="109">
        <v>0.03</v>
      </c>
      <c r="S297" s="48">
        <v>62.533943663001999</v>
      </c>
      <c r="U297" s="100">
        <v>0</v>
      </c>
      <c r="V297" s="100">
        <f t="shared" ref="V297:V352" si="60">S297+T297-U297</f>
        <v>62.533943663001999</v>
      </c>
      <c r="W297" s="100">
        <f>IF(O297="折扣",U297*P297,IF(O297="返现",U297,U297*(1+AG297)/(1+P297+AG297)))</f>
        <v>0</v>
      </c>
      <c r="X297" s="100"/>
      <c r="Y297" s="50">
        <f t="shared" si="45"/>
        <v>0</v>
      </c>
      <c r="Z297" s="50">
        <f t="shared" si="46"/>
        <v>0</v>
      </c>
      <c r="AA297" s="100">
        <f t="shared" si="54"/>
        <v>0</v>
      </c>
      <c r="AB297" s="100">
        <f t="shared" si="55"/>
        <v>0</v>
      </c>
      <c r="AC297" s="97">
        <v>0.05</v>
      </c>
      <c r="AG297" s="97">
        <v>0.42</v>
      </c>
      <c r="AH297" s="100">
        <f t="shared" ref="AH297:AH352" si="61">AK297/(1+AG297)</f>
        <v>0</v>
      </c>
      <c r="AI297" s="100"/>
      <c r="AJ297" s="100">
        <f t="shared" si="57"/>
        <v>0</v>
      </c>
      <c r="AK297" s="100">
        <v>0</v>
      </c>
      <c r="AL297" s="99">
        <f>AI297+AJ297+AK297-U297</f>
        <v>0</v>
      </c>
      <c r="AM297" s="99">
        <f>IF(O297="折扣",AK297*P297,IF(O297="返现",AK297/(1+AG297),AK297/(1+P297+AG297)))</f>
        <v>0</v>
      </c>
    </row>
    <row r="298" spans="1:40" hidden="1" x14ac:dyDescent="0.25">
      <c r="A298" s="106" t="s">
        <v>276</v>
      </c>
      <c r="B298" s="52" t="s">
        <v>71</v>
      </c>
      <c r="C298" s="52" t="s">
        <v>82</v>
      </c>
      <c r="D298" s="52" t="s">
        <v>83</v>
      </c>
      <c r="E298" s="52" t="s">
        <v>277</v>
      </c>
      <c r="F298" s="52" t="s">
        <v>278</v>
      </c>
      <c r="G298" s="52" t="s">
        <v>76</v>
      </c>
      <c r="H298" s="52" t="s">
        <v>77</v>
      </c>
      <c r="I298" s="45" t="s">
        <v>78</v>
      </c>
      <c r="J298" s="52" t="s">
        <v>78</v>
      </c>
      <c r="K298" s="52" t="s">
        <v>3</v>
      </c>
      <c r="L298" s="52" t="s">
        <v>279</v>
      </c>
      <c r="N298" s="52" t="s">
        <v>86</v>
      </c>
      <c r="O298" s="52" t="s">
        <v>81</v>
      </c>
      <c r="P298" s="97">
        <v>3.8399999999999997E-2</v>
      </c>
      <c r="S298" s="100">
        <v>0</v>
      </c>
      <c r="T298" s="100">
        <v>1000000</v>
      </c>
      <c r="U298" s="100">
        <v>8686.14</v>
      </c>
      <c r="V298" s="100">
        <f t="shared" si="60"/>
        <v>991313.86</v>
      </c>
      <c r="W298" s="100">
        <f>IF(O298="返现",U298,U298*(1+AG298)/(1+P298+AG298))</f>
        <v>8433.1456310679605</v>
      </c>
      <c r="X298" s="100"/>
      <c r="Y298" s="50">
        <f t="shared" si="45"/>
        <v>0</v>
      </c>
      <c r="Z298" s="50">
        <f t="shared" si="46"/>
        <v>8433.1456310679605</v>
      </c>
      <c r="AA298" s="104">
        <f t="shared" si="54"/>
        <v>252.99436893203892</v>
      </c>
      <c r="AB298" s="100">
        <f t="shared" si="55"/>
        <v>8686.14</v>
      </c>
      <c r="AC298" s="97">
        <v>0.05</v>
      </c>
      <c r="AD298" s="100"/>
      <c r="AG298" s="97">
        <v>0.28000000000000003</v>
      </c>
      <c r="AH298" s="100">
        <f t="shared" si="61"/>
        <v>6786.0468749999991</v>
      </c>
      <c r="AI298" s="100">
        <v>0</v>
      </c>
      <c r="AJ298" s="100">
        <f t="shared" si="57"/>
        <v>280000</v>
      </c>
      <c r="AK298" s="100">
        <v>8686.14</v>
      </c>
      <c r="AL298" s="100">
        <f t="shared" ref="AL298:AL329" si="62">AI298+AJ298-AK298+U298</f>
        <v>280000</v>
      </c>
      <c r="AM298" s="100">
        <f>IF(O298="返现",AK298/(1+AG298),AK298/(1+P298+AG298))</f>
        <v>6588.3950242718438</v>
      </c>
      <c r="AN298" s="99"/>
    </row>
    <row r="299" spans="1:40" hidden="1" x14ac:dyDescent="0.25">
      <c r="A299" s="106" t="s">
        <v>276</v>
      </c>
      <c r="B299" s="52" t="s">
        <v>71</v>
      </c>
      <c r="C299" s="52" t="s">
        <v>82</v>
      </c>
      <c r="D299" s="52" t="s">
        <v>83</v>
      </c>
      <c r="E299" s="52" t="s">
        <v>280</v>
      </c>
      <c r="F299" s="52" t="s">
        <v>281</v>
      </c>
      <c r="G299" s="52" t="s">
        <v>76</v>
      </c>
      <c r="H299" s="52" t="s">
        <v>77</v>
      </c>
      <c r="I299" s="45" t="s">
        <v>78</v>
      </c>
      <c r="J299" s="52" t="s">
        <v>78</v>
      </c>
      <c r="K299" s="52" t="s">
        <v>3</v>
      </c>
      <c r="L299" s="52" t="s">
        <v>282</v>
      </c>
      <c r="N299" s="52" t="s">
        <v>126</v>
      </c>
      <c r="O299" s="52" t="s">
        <v>94</v>
      </c>
      <c r="P299" s="97">
        <v>4.1399999999999999E-2</v>
      </c>
      <c r="S299" s="100">
        <v>0</v>
      </c>
      <c r="T299" s="100">
        <v>300000</v>
      </c>
      <c r="U299" s="100">
        <v>19305.93</v>
      </c>
      <c r="V299" s="100">
        <f t="shared" si="60"/>
        <v>280694.07</v>
      </c>
      <c r="W299" s="100">
        <f>IF(O299="返现",U299,U299*(1+AG299)/(1+P299+AG299))</f>
        <v>18743.621359223296</v>
      </c>
      <c r="X299" s="100"/>
      <c r="Y299" s="50">
        <f t="shared" si="45"/>
        <v>0</v>
      </c>
      <c r="Z299" s="50">
        <f t="shared" si="46"/>
        <v>18743.621359223296</v>
      </c>
      <c r="AA299" s="104">
        <f t="shared" si="54"/>
        <v>562.30864077670412</v>
      </c>
      <c r="AB299" s="100">
        <f t="shared" si="55"/>
        <v>19305.93</v>
      </c>
      <c r="AC299" s="97">
        <v>0.05</v>
      </c>
      <c r="AD299" s="100"/>
      <c r="AG299" s="97">
        <v>0.38</v>
      </c>
      <c r="AH299" s="100">
        <f t="shared" si="61"/>
        <v>13989.804347826088</v>
      </c>
      <c r="AI299" s="100">
        <v>0</v>
      </c>
      <c r="AJ299" s="100">
        <f t="shared" si="57"/>
        <v>114000</v>
      </c>
      <c r="AK299" s="100">
        <v>19305.93</v>
      </c>
      <c r="AL299" s="100">
        <f t="shared" si="62"/>
        <v>114000</v>
      </c>
      <c r="AM299" s="100">
        <f>IF(O299="返现",AK299/(1+AG299),AK299/(1+P299+AG299))</f>
        <v>13582.334318277752</v>
      </c>
      <c r="AN299" s="99"/>
    </row>
    <row r="300" spans="1:40" hidden="1" x14ac:dyDescent="0.25">
      <c r="A300" s="106" t="s">
        <v>276</v>
      </c>
      <c r="B300" s="52" t="s">
        <v>3</v>
      </c>
      <c r="C300" s="52" t="s">
        <v>82</v>
      </c>
      <c r="D300" s="52" t="s">
        <v>83</v>
      </c>
      <c r="E300" s="52" t="s">
        <v>88</v>
      </c>
      <c r="F300" s="52" t="s">
        <v>88</v>
      </c>
      <c r="G300" s="52" t="s">
        <v>88</v>
      </c>
      <c r="H300" s="52" t="s">
        <v>77</v>
      </c>
      <c r="I300" s="45" t="s">
        <v>78</v>
      </c>
      <c r="J300" s="52" t="s">
        <v>78</v>
      </c>
      <c r="K300" s="52" t="s">
        <v>3</v>
      </c>
      <c r="L300" s="52" t="s">
        <v>88</v>
      </c>
      <c r="N300" s="52" t="s">
        <v>86</v>
      </c>
      <c r="O300" s="52" t="s">
        <v>81</v>
      </c>
      <c r="P300" s="97">
        <v>0</v>
      </c>
      <c r="R300" s="52" t="s">
        <v>283</v>
      </c>
      <c r="S300" s="100">
        <v>1041675.81</v>
      </c>
      <c r="T300" s="100">
        <v>1033830.44</v>
      </c>
      <c r="U300" s="100">
        <v>1139390.19</v>
      </c>
      <c r="V300" s="100">
        <f t="shared" si="60"/>
        <v>936116.06</v>
      </c>
      <c r="W300" s="100">
        <v>1733830.44</v>
      </c>
      <c r="X300" s="100">
        <f>509872+104029.83</f>
        <v>613901.82999999996</v>
      </c>
      <c r="Y300" s="50">
        <f t="shared" si="45"/>
        <v>800000</v>
      </c>
      <c r="Z300" s="50">
        <f t="shared" si="46"/>
        <v>2347732.27</v>
      </c>
      <c r="AA300" s="104">
        <f t="shared" si="54"/>
        <v>-594440.25</v>
      </c>
      <c r="AB300" s="100">
        <v>933830.44</v>
      </c>
      <c r="AC300" s="97">
        <v>0.05</v>
      </c>
      <c r="AD300" s="100"/>
      <c r="AG300" s="97">
        <v>0.3</v>
      </c>
      <c r="AH300" s="100">
        <f t="shared" si="61"/>
        <v>1292600.8923076922</v>
      </c>
      <c r="AI300" s="100">
        <v>1361206.5079999999</v>
      </c>
      <c r="AJ300" s="100">
        <f t="shared" si="57"/>
        <v>310149.13199999998</v>
      </c>
      <c r="AK300" s="100">
        <v>1680381.16</v>
      </c>
      <c r="AL300" s="100">
        <f t="shared" si="62"/>
        <v>1130364.67</v>
      </c>
      <c r="AM300" s="100">
        <f>W300</f>
        <v>1733830.44</v>
      </c>
      <c r="AN300" s="99">
        <f>AM300-W300</f>
        <v>0</v>
      </c>
    </row>
    <row r="301" spans="1:40" s="118" customFormat="1" hidden="1" x14ac:dyDescent="0.25">
      <c r="A301" s="117" t="s">
        <v>276</v>
      </c>
      <c r="B301" s="118" t="s">
        <v>3</v>
      </c>
      <c r="C301" s="118" t="s">
        <v>82</v>
      </c>
      <c r="D301" s="118" t="s">
        <v>83</v>
      </c>
      <c r="E301" s="118" t="s">
        <v>247</v>
      </c>
      <c r="F301" s="118" t="s">
        <v>247</v>
      </c>
      <c r="G301" s="118" t="s">
        <v>247</v>
      </c>
      <c r="H301" s="118" t="s">
        <v>77</v>
      </c>
      <c r="I301" s="119" t="s">
        <v>78</v>
      </c>
      <c r="J301" s="118" t="s">
        <v>78</v>
      </c>
      <c r="K301" s="118" t="s">
        <v>3</v>
      </c>
      <c r="L301" s="118" t="s">
        <v>88</v>
      </c>
      <c r="N301" s="118" t="s">
        <v>126</v>
      </c>
      <c r="O301" s="118" t="s">
        <v>81</v>
      </c>
      <c r="P301" s="120">
        <v>0</v>
      </c>
      <c r="S301" s="121">
        <v>16133.5199999999</v>
      </c>
      <c r="T301" s="121"/>
      <c r="U301" s="121">
        <v>16133.52</v>
      </c>
      <c r="V301" s="121">
        <f t="shared" si="60"/>
        <v>-1.0004441719502211E-10</v>
      </c>
      <c r="W301" s="121">
        <v>0</v>
      </c>
      <c r="X301" s="121"/>
      <c r="Y301" s="50">
        <f t="shared" si="45"/>
        <v>0</v>
      </c>
      <c r="Z301" s="50">
        <f t="shared" si="46"/>
        <v>0</v>
      </c>
      <c r="AA301" s="121">
        <f t="shared" si="54"/>
        <v>16133.52</v>
      </c>
      <c r="AB301" s="121">
        <v>0</v>
      </c>
      <c r="AC301" s="120">
        <v>0.05</v>
      </c>
      <c r="AD301" s="121"/>
      <c r="AG301" s="120">
        <v>0.24</v>
      </c>
      <c r="AH301" s="121">
        <f t="shared" si="61"/>
        <v>13118.129032258064</v>
      </c>
      <c r="AI301" s="121">
        <v>96000</v>
      </c>
      <c r="AJ301" s="121">
        <f t="shared" si="57"/>
        <v>0</v>
      </c>
      <c r="AK301" s="121">
        <v>16266.48</v>
      </c>
      <c r="AL301" s="121">
        <f t="shared" si="62"/>
        <v>95867.040000000008</v>
      </c>
      <c r="AM301" s="121">
        <v>0</v>
      </c>
      <c r="AN301" s="122">
        <f>AM301-W301</f>
        <v>0</v>
      </c>
    </row>
    <row r="302" spans="1:40" hidden="1" x14ac:dyDescent="0.25">
      <c r="A302" s="106" t="s">
        <v>276</v>
      </c>
      <c r="B302" s="52" t="s">
        <v>3</v>
      </c>
      <c r="C302" s="52" t="s">
        <v>82</v>
      </c>
      <c r="D302" s="52" t="s">
        <v>83</v>
      </c>
      <c r="E302" s="52" t="s">
        <v>248</v>
      </c>
      <c r="F302" s="52" t="s">
        <v>248</v>
      </c>
      <c r="G302" s="52" t="s">
        <v>248</v>
      </c>
      <c r="H302" s="52" t="s">
        <v>77</v>
      </c>
      <c r="I302" s="45" t="s">
        <v>78</v>
      </c>
      <c r="J302" s="52" t="s">
        <v>78</v>
      </c>
      <c r="K302" s="52" t="s">
        <v>3</v>
      </c>
      <c r="L302" s="52" t="s">
        <v>88</v>
      </c>
      <c r="N302" s="52" t="s">
        <v>86</v>
      </c>
      <c r="O302" s="52" t="s">
        <v>249</v>
      </c>
      <c r="P302" s="97">
        <v>0.98</v>
      </c>
      <c r="R302" s="52" t="s">
        <v>54</v>
      </c>
      <c r="S302" s="100">
        <v>149995.81</v>
      </c>
      <c r="T302" s="100"/>
      <c r="U302" s="100">
        <v>149995.46</v>
      </c>
      <c r="V302" s="100">
        <f t="shared" si="60"/>
        <v>0.35000000000582077</v>
      </c>
      <c r="W302" s="100">
        <v>949457.32</v>
      </c>
      <c r="X302" s="100"/>
      <c r="Y302" s="50">
        <f t="shared" si="45"/>
        <v>799457.32</v>
      </c>
      <c r="Z302" s="50">
        <f t="shared" si="46"/>
        <v>949457.32</v>
      </c>
      <c r="AA302" s="104">
        <f t="shared" si="54"/>
        <v>-799461.86</v>
      </c>
      <c r="AB302" s="100">
        <v>150000</v>
      </c>
      <c r="AC302" s="97">
        <v>0.05</v>
      </c>
      <c r="AD302" s="100"/>
      <c r="AG302" s="97">
        <v>0.3</v>
      </c>
      <c r="AH302" s="100">
        <f t="shared" si="61"/>
        <v>166941.44615384616</v>
      </c>
      <c r="AI302" s="100">
        <v>112979.09</v>
      </c>
      <c r="AJ302" s="100">
        <f t="shared" si="57"/>
        <v>0</v>
      </c>
      <c r="AK302" s="100">
        <v>217023.88</v>
      </c>
      <c r="AL302" s="100">
        <f t="shared" si="62"/>
        <v>45950.669999999984</v>
      </c>
      <c r="AM302" s="100">
        <v>949457.32</v>
      </c>
      <c r="AN302" s="99">
        <f>AM302-W302</f>
        <v>0</v>
      </c>
    </row>
    <row r="303" spans="1:40" hidden="1" x14ac:dyDescent="0.25">
      <c r="A303" s="106" t="s">
        <v>276</v>
      </c>
      <c r="B303" s="52" t="s">
        <v>71</v>
      </c>
      <c r="C303" s="52" t="s">
        <v>193</v>
      </c>
      <c r="D303" s="52" t="s">
        <v>194</v>
      </c>
      <c r="E303" s="52" t="s">
        <v>195</v>
      </c>
      <c r="F303" s="52" t="s">
        <v>196</v>
      </c>
      <c r="G303" s="52" t="s">
        <v>76</v>
      </c>
      <c r="H303" s="52" t="s">
        <v>77</v>
      </c>
      <c r="I303" s="45" t="s">
        <v>78</v>
      </c>
      <c r="J303" s="52" t="s">
        <v>78</v>
      </c>
      <c r="K303" s="52" t="s">
        <v>3</v>
      </c>
      <c r="L303" s="52" t="s">
        <v>197</v>
      </c>
      <c r="N303" s="52" t="s">
        <v>80</v>
      </c>
      <c r="O303" s="52" t="s">
        <v>81</v>
      </c>
      <c r="P303" s="97">
        <v>0</v>
      </c>
      <c r="S303" s="100">
        <v>2956.69</v>
      </c>
      <c r="T303" s="100"/>
      <c r="U303" s="100">
        <v>0</v>
      </c>
      <c r="V303" s="100">
        <f t="shared" si="60"/>
        <v>2956.69</v>
      </c>
      <c r="W303" s="100">
        <f t="shared" ref="W303:W334" si="63">IF(O303="返现",U303,U303*(1+AG303)/(1+P303+AG303))</f>
        <v>0</v>
      </c>
      <c r="X303" s="100"/>
      <c r="Y303" s="50">
        <f t="shared" si="45"/>
        <v>0</v>
      </c>
      <c r="Z303" s="50">
        <f t="shared" si="46"/>
        <v>0</v>
      </c>
      <c r="AA303" s="104">
        <f t="shared" si="54"/>
        <v>0</v>
      </c>
      <c r="AB303" s="100">
        <f t="shared" ref="AB303:AB334" si="64">U303</f>
        <v>0</v>
      </c>
      <c r="AC303" s="97">
        <v>0.05</v>
      </c>
      <c r="AD303" s="100"/>
      <c r="AG303" s="97">
        <v>0.42</v>
      </c>
      <c r="AH303" s="100">
        <f t="shared" si="61"/>
        <v>0</v>
      </c>
      <c r="AI303" s="100">
        <v>0</v>
      </c>
      <c r="AJ303" s="100">
        <f t="shared" si="57"/>
        <v>0</v>
      </c>
      <c r="AK303" s="100">
        <v>0</v>
      </c>
      <c r="AL303" s="100">
        <f t="shared" si="62"/>
        <v>0</v>
      </c>
      <c r="AM303" s="100">
        <f t="shared" ref="AM303:AM334" si="65">IF(O303="返现",AK303/(1+AG303),AK303/(1+P303+AG303))</f>
        <v>0</v>
      </c>
    </row>
    <row r="304" spans="1:40" hidden="1" x14ac:dyDescent="0.25">
      <c r="A304" s="106" t="s">
        <v>276</v>
      </c>
      <c r="B304" s="52" t="s">
        <v>71</v>
      </c>
      <c r="C304" s="52" t="s">
        <v>100</v>
      </c>
      <c r="D304" s="52" t="s">
        <v>101</v>
      </c>
      <c r="E304" s="52" t="s">
        <v>112</v>
      </c>
      <c r="F304" s="52" t="s">
        <v>113</v>
      </c>
      <c r="G304" s="52" t="s">
        <v>76</v>
      </c>
      <c r="H304" s="52" t="s">
        <v>77</v>
      </c>
      <c r="I304" s="45" t="s">
        <v>78</v>
      </c>
      <c r="J304" s="52" t="s">
        <v>78</v>
      </c>
      <c r="K304" s="52" t="s">
        <v>3</v>
      </c>
      <c r="L304" s="52" t="s">
        <v>112</v>
      </c>
      <c r="N304" s="52" t="s">
        <v>86</v>
      </c>
      <c r="O304" s="52" t="s">
        <v>81</v>
      </c>
      <c r="P304" s="97">
        <v>0</v>
      </c>
      <c r="S304" s="100">
        <v>68894</v>
      </c>
      <c r="T304" s="100"/>
      <c r="U304" s="100">
        <v>0.15</v>
      </c>
      <c r="V304" s="100">
        <f t="shared" si="60"/>
        <v>68893.850000000006</v>
      </c>
      <c r="W304" s="100">
        <f t="shared" si="63"/>
        <v>0.15</v>
      </c>
      <c r="X304" s="100"/>
      <c r="Y304" s="50">
        <f t="shared" si="45"/>
        <v>0</v>
      </c>
      <c r="Z304" s="50">
        <f t="shared" si="46"/>
        <v>0.15</v>
      </c>
      <c r="AA304" s="104">
        <f t="shared" si="54"/>
        <v>0</v>
      </c>
      <c r="AB304" s="100">
        <f t="shared" si="64"/>
        <v>0.15</v>
      </c>
      <c r="AC304" s="97">
        <v>0.05</v>
      </c>
      <c r="AD304" s="100"/>
      <c r="AG304" s="97">
        <v>0</v>
      </c>
      <c r="AH304" s="100">
        <f t="shared" si="61"/>
        <v>0.15</v>
      </c>
      <c r="AI304" s="100">
        <v>0</v>
      </c>
      <c r="AJ304" s="100">
        <f t="shared" si="57"/>
        <v>0</v>
      </c>
      <c r="AK304" s="100">
        <v>0.15</v>
      </c>
      <c r="AL304" s="100">
        <f t="shared" si="62"/>
        <v>0</v>
      </c>
      <c r="AM304" s="100">
        <f t="shared" si="65"/>
        <v>0.15</v>
      </c>
      <c r="AN304" s="99"/>
    </row>
    <row r="305" spans="1:40" hidden="1" x14ac:dyDescent="0.25">
      <c r="A305" s="106" t="s">
        <v>276</v>
      </c>
      <c r="B305" s="52" t="s">
        <v>71</v>
      </c>
      <c r="C305" s="52" t="s">
        <v>90</v>
      </c>
      <c r="D305" s="52" t="s">
        <v>105</v>
      </c>
      <c r="E305" s="52" t="s">
        <v>106</v>
      </c>
      <c r="F305" s="52" t="s">
        <v>107</v>
      </c>
      <c r="G305" s="52" t="s">
        <v>76</v>
      </c>
      <c r="H305" s="52" t="s">
        <v>77</v>
      </c>
      <c r="I305" s="45" t="s">
        <v>78</v>
      </c>
      <c r="J305" s="52" t="s">
        <v>78</v>
      </c>
      <c r="K305" s="52" t="s">
        <v>3</v>
      </c>
      <c r="L305" s="52" t="s">
        <v>106</v>
      </c>
      <c r="N305" s="52" t="s">
        <v>80</v>
      </c>
      <c r="O305" s="52" t="s">
        <v>81</v>
      </c>
      <c r="P305" s="97">
        <v>0</v>
      </c>
      <c r="S305" s="100">
        <v>7741.65</v>
      </c>
      <c r="T305" s="100"/>
      <c r="U305" s="100">
        <v>0</v>
      </c>
      <c r="V305" s="100">
        <f t="shared" si="60"/>
        <v>7741.65</v>
      </c>
      <c r="W305" s="100">
        <f t="shared" si="63"/>
        <v>0</v>
      </c>
      <c r="X305" s="100"/>
      <c r="Y305" s="50">
        <f t="shared" si="45"/>
        <v>0</v>
      </c>
      <c r="Z305" s="50">
        <f t="shared" si="46"/>
        <v>0</v>
      </c>
      <c r="AA305" s="104">
        <f t="shared" si="54"/>
        <v>0</v>
      </c>
      <c r="AB305" s="100">
        <f t="shared" si="64"/>
        <v>0</v>
      </c>
      <c r="AC305" s="97">
        <v>0.05</v>
      </c>
      <c r="AD305" s="100"/>
      <c r="AG305" s="97">
        <v>0.42</v>
      </c>
      <c r="AH305" s="100">
        <f t="shared" si="61"/>
        <v>0</v>
      </c>
      <c r="AI305" s="100">
        <v>0</v>
      </c>
      <c r="AJ305" s="100">
        <f t="shared" si="57"/>
        <v>0</v>
      </c>
      <c r="AK305" s="100">
        <v>0</v>
      </c>
      <c r="AL305" s="100">
        <f t="shared" si="62"/>
        <v>0</v>
      </c>
      <c r="AM305" s="100">
        <f t="shared" si="65"/>
        <v>0</v>
      </c>
    </row>
    <row r="306" spans="1:40" hidden="1" x14ac:dyDescent="0.25">
      <c r="A306" s="106" t="s">
        <v>276</v>
      </c>
      <c r="B306" s="52" t="s">
        <v>71</v>
      </c>
      <c r="C306" s="52" t="s">
        <v>90</v>
      </c>
      <c r="D306" s="52" t="s">
        <v>91</v>
      </c>
      <c r="E306" s="52" t="s">
        <v>92</v>
      </c>
      <c r="F306" s="52" t="s">
        <v>93</v>
      </c>
      <c r="G306" s="52" t="s">
        <v>76</v>
      </c>
      <c r="H306" s="52" t="s">
        <v>77</v>
      </c>
      <c r="I306" s="45" t="s">
        <v>78</v>
      </c>
      <c r="J306" s="52" t="s">
        <v>78</v>
      </c>
      <c r="K306" s="52" t="s">
        <v>3</v>
      </c>
      <c r="L306" s="52" t="s">
        <v>92</v>
      </c>
      <c r="N306" s="52" t="s">
        <v>86</v>
      </c>
      <c r="O306" s="52" t="s">
        <v>81</v>
      </c>
      <c r="P306" s="97">
        <v>0</v>
      </c>
      <c r="S306" s="100">
        <v>7.0399999999990497</v>
      </c>
      <c r="T306" s="100"/>
      <c r="U306" s="100">
        <v>0</v>
      </c>
      <c r="V306" s="100">
        <f t="shared" si="60"/>
        <v>7.0399999999990497</v>
      </c>
      <c r="W306" s="100">
        <f t="shared" si="63"/>
        <v>0</v>
      </c>
      <c r="X306" s="100"/>
      <c r="Y306" s="50">
        <f t="shared" si="45"/>
        <v>0</v>
      </c>
      <c r="Z306" s="50">
        <f t="shared" si="46"/>
        <v>0</v>
      </c>
      <c r="AA306" s="104">
        <f t="shared" si="54"/>
        <v>0</v>
      </c>
      <c r="AB306" s="100">
        <f t="shared" si="64"/>
        <v>0</v>
      </c>
      <c r="AC306" s="97">
        <v>0.05</v>
      </c>
      <c r="AD306" s="100"/>
      <c r="AG306" s="97">
        <v>0</v>
      </c>
      <c r="AH306" s="100">
        <f t="shared" si="61"/>
        <v>0</v>
      </c>
      <c r="AI306" s="100">
        <v>0</v>
      </c>
      <c r="AJ306" s="100">
        <f t="shared" si="57"/>
        <v>0</v>
      </c>
      <c r="AK306" s="100">
        <v>0</v>
      </c>
      <c r="AL306" s="100">
        <f t="shared" si="62"/>
        <v>0</v>
      </c>
      <c r="AM306" s="100">
        <f t="shared" si="65"/>
        <v>0</v>
      </c>
    </row>
    <row r="307" spans="1:40" hidden="1" x14ac:dyDescent="0.25">
      <c r="A307" s="106" t="s">
        <v>276</v>
      </c>
      <c r="B307" s="52" t="s">
        <v>71</v>
      </c>
      <c r="C307" s="52" t="s">
        <v>90</v>
      </c>
      <c r="D307" s="52" t="s">
        <v>91</v>
      </c>
      <c r="E307" s="52" t="s">
        <v>103</v>
      </c>
      <c r="F307" s="52" t="s">
        <v>104</v>
      </c>
      <c r="G307" s="52" t="s">
        <v>76</v>
      </c>
      <c r="H307" s="52" t="s">
        <v>77</v>
      </c>
      <c r="I307" s="45" t="s">
        <v>78</v>
      </c>
      <c r="J307" s="52" t="s">
        <v>78</v>
      </c>
      <c r="K307" s="52" t="s">
        <v>3</v>
      </c>
      <c r="L307" s="52" t="s">
        <v>103</v>
      </c>
      <c r="N307" s="52" t="s">
        <v>86</v>
      </c>
      <c r="O307" s="52" t="s">
        <v>94</v>
      </c>
      <c r="P307" s="97">
        <v>0.02</v>
      </c>
      <c r="S307" s="100">
        <v>106099.63</v>
      </c>
      <c r="T307" s="100"/>
      <c r="U307" s="100">
        <v>0</v>
      </c>
      <c r="V307" s="100">
        <f t="shared" si="60"/>
        <v>106099.63</v>
      </c>
      <c r="W307" s="100">
        <f t="shared" si="63"/>
        <v>0</v>
      </c>
      <c r="X307" s="100"/>
      <c r="Y307" s="50">
        <f t="shared" si="45"/>
        <v>0</v>
      </c>
      <c r="Z307" s="50">
        <f t="shared" si="46"/>
        <v>0</v>
      </c>
      <c r="AA307" s="104">
        <f t="shared" si="54"/>
        <v>0</v>
      </c>
      <c r="AB307" s="100">
        <f t="shared" si="64"/>
        <v>0</v>
      </c>
      <c r="AC307" s="97">
        <v>0.05</v>
      </c>
      <c r="AD307" s="100"/>
      <c r="AG307" s="97">
        <v>0.42</v>
      </c>
      <c r="AH307" s="100">
        <f t="shared" si="61"/>
        <v>0</v>
      </c>
      <c r="AI307" s="100">
        <v>0</v>
      </c>
      <c r="AJ307" s="100">
        <f t="shared" si="57"/>
        <v>0</v>
      </c>
      <c r="AK307" s="100">
        <v>0</v>
      </c>
      <c r="AL307" s="100">
        <f t="shared" si="62"/>
        <v>0</v>
      </c>
      <c r="AM307" s="100">
        <f t="shared" si="65"/>
        <v>0</v>
      </c>
    </row>
    <row r="308" spans="1:40" hidden="1" x14ac:dyDescent="0.25">
      <c r="A308" s="106" t="s">
        <v>276</v>
      </c>
      <c r="B308" s="52" t="s">
        <v>71</v>
      </c>
      <c r="C308" s="52" t="s">
        <v>72</v>
      </c>
      <c r="D308" s="52" t="s">
        <v>122</v>
      </c>
      <c r="E308" s="52" t="s">
        <v>123</v>
      </c>
      <c r="F308" s="52" t="s">
        <v>124</v>
      </c>
      <c r="G308" s="52" t="s">
        <v>76</v>
      </c>
      <c r="H308" s="52" t="s">
        <v>77</v>
      </c>
      <c r="I308" s="45" t="s">
        <v>78</v>
      </c>
      <c r="J308" s="52" t="s">
        <v>78</v>
      </c>
      <c r="K308" s="52" t="s">
        <v>3</v>
      </c>
      <c r="L308" s="52" t="s">
        <v>125</v>
      </c>
      <c r="N308" s="52" t="s">
        <v>126</v>
      </c>
      <c r="O308" s="52" t="s">
        <v>94</v>
      </c>
      <c r="P308" s="97">
        <v>0.18</v>
      </c>
      <c r="S308" s="100">
        <v>131941.95000000001</v>
      </c>
      <c r="T308" s="100"/>
      <c r="U308" s="100">
        <v>73058.179999999993</v>
      </c>
      <c r="V308" s="100">
        <f t="shared" si="60"/>
        <v>58883.770000000019</v>
      </c>
      <c r="W308" s="100">
        <f t="shared" si="63"/>
        <v>64839.134749999997</v>
      </c>
      <c r="X308" s="100"/>
      <c r="Y308" s="50">
        <f t="shared" si="45"/>
        <v>0</v>
      </c>
      <c r="Z308" s="50">
        <f t="shared" si="46"/>
        <v>64839.134749999997</v>
      </c>
      <c r="AA308" s="104">
        <f t="shared" si="54"/>
        <v>8219.0452499999956</v>
      </c>
      <c r="AB308" s="100">
        <f t="shared" si="64"/>
        <v>73058.179999999993</v>
      </c>
      <c r="AC308" s="97">
        <v>0.05</v>
      </c>
      <c r="AD308" s="100"/>
      <c r="AG308" s="46">
        <v>0.42</v>
      </c>
      <c r="AH308" s="100">
        <f t="shared" si="61"/>
        <v>73059.457746478874</v>
      </c>
      <c r="AI308" s="100">
        <v>0</v>
      </c>
      <c r="AJ308" s="100">
        <f t="shared" si="57"/>
        <v>0</v>
      </c>
      <c r="AK308" s="100">
        <v>103744.43</v>
      </c>
      <c r="AL308" s="100">
        <f t="shared" si="62"/>
        <v>-30686.25</v>
      </c>
      <c r="AM308" s="100">
        <f t="shared" si="65"/>
        <v>64840.268750000003</v>
      </c>
      <c r="AN308" s="99"/>
    </row>
    <row r="309" spans="1:40" hidden="1" x14ac:dyDescent="0.25">
      <c r="A309" s="106" t="s">
        <v>276</v>
      </c>
      <c r="B309" s="52" t="s">
        <v>71</v>
      </c>
      <c r="C309" s="52" t="s">
        <v>72</v>
      </c>
      <c r="D309" s="52" t="s">
        <v>73</v>
      </c>
      <c r="E309" s="52" t="s">
        <v>74</v>
      </c>
      <c r="F309" s="52" t="s">
        <v>75</v>
      </c>
      <c r="G309" s="52" t="s">
        <v>76</v>
      </c>
      <c r="H309" s="52" t="s">
        <v>77</v>
      </c>
      <c r="I309" s="45" t="s">
        <v>78</v>
      </c>
      <c r="J309" s="52" t="s">
        <v>78</v>
      </c>
      <c r="K309" s="52" t="s">
        <v>3</v>
      </c>
      <c r="L309" s="52" t="s">
        <v>74</v>
      </c>
      <c r="N309" s="52" t="s">
        <v>86</v>
      </c>
      <c r="O309" s="52" t="s">
        <v>94</v>
      </c>
      <c r="P309" s="97">
        <v>0.03</v>
      </c>
      <c r="S309" s="48">
        <v>15899.0800000003</v>
      </c>
      <c r="T309" s="100"/>
      <c r="U309" s="100">
        <v>0</v>
      </c>
      <c r="V309" s="100">
        <f t="shared" si="60"/>
        <v>15899.0800000003</v>
      </c>
      <c r="W309" s="100">
        <f t="shared" si="63"/>
        <v>0</v>
      </c>
      <c r="X309" s="100"/>
      <c r="Y309" s="50">
        <f t="shared" si="45"/>
        <v>0</v>
      </c>
      <c r="Z309" s="50">
        <f t="shared" si="46"/>
        <v>0</v>
      </c>
      <c r="AA309" s="104">
        <f t="shared" si="54"/>
        <v>0</v>
      </c>
      <c r="AB309" s="100">
        <f t="shared" si="64"/>
        <v>0</v>
      </c>
      <c r="AC309" s="97">
        <v>0.05</v>
      </c>
      <c r="AD309" s="100"/>
      <c r="AG309" s="97">
        <v>7.0000000000000007E-2</v>
      </c>
      <c r="AH309" s="100">
        <f t="shared" si="61"/>
        <v>0</v>
      </c>
      <c r="AI309" s="100">
        <v>0</v>
      </c>
      <c r="AJ309" s="100">
        <f t="shared" si="57"/>
        <v>0</v>
      </c>
      <c r="AK309" s="100">
        <v>0</v>
      </c>
      <c r="AL309" s="100">
        <f t="shared" si="62"/>
        <v>0</v>
      </c>
      <c r="AM309" s="100">
        <f t="shared" si="65"/>
        <v>0</v>
      </c>
    </row>
    <row r="310" spans="1:40" hidden="1" x14ac:dyDescent="0.25">
      <c r="A310" s="106" t="s">
        <v>276</v>
      </c>
      <c r="B310" s="52" t="s">
        <v>71</v>
      </c>
      <c r="C310" s="52" t="s">
        <v>72</v>
      </c>
      <c r="D310" s="52" t="s">
        <v>73</v>
      </c>
      <c r="E310" s="52" t="s">
        <v>74</v>
      </c>
      <c r="F310" s="52" t="s">
        <v>75</v>
      </c>
      <c r="G310" s="52" t="s">
        <v>76</v>
      </c>
      <c r="H310" s="52" t="s">
        <v>77</v>
      </c>
      <c r="I310" s="45" t="s">
        <v>78</v>
      </c>
      <c r="J310" s="52" t="s">
        <v>78</v>
      </c>
      <c r="K310" s="52" t="s">
        <v>3</v>
      </c>
      <c r="L310" s="52" t="s">
        <v>74</v>
      </c>
      <c r="N310" s="52" t="s">
        <v>80</v>
      </c>
      <c r="O310" s="52" t="s">
        <v>94</v>
      </c>
      <c r="P310" s="97">
        <v>0.03</v>
      </c>
      <c r="S310" s="48">
        <v>2383.1799999999998</v>
      </c>
      <c r="T310" s="100"/>
      <c r="U310" s="100">
        <v>0</v>
      </c>
      <c r="V310" s="100">
        <f t="shared" si="60"/>
        <v>2383.1799999999998</v>
      </c>
      <c r="W310" s="100">
        <f t="shared" si="63"/>
        <v>0</v>
      </c>
      <c r="X310" s="100"/>
      <c r="Y310" s="50">
        <f t="shared" si="45"/>
        <v>0</v>
      </c>
      <c r="Z310" s="50">
        <f t="shared" si="46"/>
        <v>0</v>
      </c>
      <c r="AA310" s="104">
        <f t="shared" si="54"/>
        <v>0</v>
      </c>
      <c r="AB310" s="100">
        <f t="shared" si="64"/>
        <v>0</v>
      </c>
      <c r="AC310" s="97">
        <v>0.05</v>
      </c>
      <c r="AD310" s="100"/>
      <c r="AG310" s="97">
        <v>7.0000000000000007E-2</v>
      </c>
      <c r="AH310" s="100">
        <f t="shared" si="61"/>
        <v>0</v>
      </c>
      <c r="AI310" s="100">
        <v>0</v>
      </c>
      <c r="AJ310" s="100">
        <f t="shared" si="57"/>
        <v>0</v>
      </c>
      <c r="AK310" s="100">
        <v>0</v>
      </c>
      <c r="AL310" s="100">
        <f t="shared" si="62"/>
        <v>0</v>
      </c>
      <c r="AM310" s="100">
        <f t="shared" si="65"/>
        <v>0</v>
      </c>
    </row>
    <row r="311" spans="1:40" hidden="1" x14ac:dyDescent="0.25">
      <c r="A311" s="106" t="s">
        <v>276</v>
      </c>
      <c r="B311" s="52" t="s">
        <v>71</v>
      </c>
      <c r="C311" s="52" t="s">
        <v>82</v>
      </c>
      <c r="D311" s="52" t="s">
        <v>117</v>
      </c>
      <c r="E311" s="52" t="s">
        <v>118</v>
      </c>
      <c r="F311" s="52" t="s">
        <v>119</v>
      </c>
      <c r="G311" s="52" t="s">
        <v>76</v>
      </c>
      <c r="H311" s="52" t="s">
        <v>77</v>
      </c>
      <c r="I311" s="45" t="s">
        <v>78</v>
      </c>
      <c r="J311" s="52" t="s">
        <v>78</v>
      </c>
      <c r="K311" s="52" t="s">
        <v>3</v>
      </c>
      <c r="L311" s="52" t="s">
        <v>120</v>
      </c>
      <c r="N311" s="52" t="s">
        <v>80</v>
      </c>
      <c r="O311" s="52" t="s">
        <v>94</v>
      </c>
      <c r="P311" s="97">
        <v>0.05</v>
      </c>
      <c r="S311" s="100">
        <v>1766.24</v>
      </c>
      <c r="T311" s="100"/>
      <c r="U311" s="100">
        <v>0</v>
      </c>
      <c r="V311" s="100">
        <f t="shared" si="60"/>
        <v>1766.24</v>
      </c>
      <c r="W311" s="100">
        <f t="shared" si="63"/>
        <v>0</v>
      </c>
      <c r="X311" s="100"/>
      <c r="Y311" s="50">
        <f t="shared" si="45"/>
        <v>0</v>
      </c>
      <c r="Z311" s="50">
        <f t="shared" si="46"/>
        <v>0</v>
      </c>
      <c r="AA311" s="104">
        <f t="shared" si="54"/>
        <v>0</v>
      </c>
      <c r="AB311" s="100">
        <f t="shared" si="64"/>
        <v>0</v>
      </c>
      <c r="AC311" s="97">
        <v>0.05</v>
      </c>
      <c r="AD311" s="100"/>
      <c r="AG311" s="97">
        <v>0.42</v>
      </c>
      <c r="AH311" s="100">
        <f t="shared" si="61"/>
        <v>0</v>
      </c>
      <c r="AI311" s="100">
        <v>0</v>
      </c>
      <c r="AJ311" s="100">
        <f t="shared" si="57"/>
        <v>0</v>
      </c>
      <c r="AK311" s="100">
        <v>0</v>
      </c>
      <c r="AL311" s="100">
        <f t="shared" si="62"/>
        <v>0</v>
      </c>
      <c r="AM311" s="100">
        <f t="shared" si="65"/>
        <v>0</v>
      </c>
    </row>
    <row r="312" spans="1:40" hidden="1" x14ac:dyDescent="0.25">
      <c r="A312" s="106" t="s">
        <v>276</v>
      </c>
      <c r="B312" s="52" t="s">
        <v>71</v>
      </c>
      <c r="C312" s="52" t="s">
        <v>127</v>
      </c>
      <c r="D312" s="52" t="s">
        <v>128</v>
      </c>
      <c r="E312" s="52" t="s">
        <v>129</v>
      </c>
      <c r="F312" s="52" t="s">
        <v>130</v>
      </c>
      <c r="G312" s="52" t="s">
        <v>76</v>
      </c>
      <c r="H312" s="52" t="s">
        <v>77</v>
      </c>
      <c r="I312" s="45" t="s">
        <v>78</v>
      </c>
      <c r="J312" s="52" t="s">
        <v>78</v>
      </c>
      <c r="K312" s="52" t="s">
        <v>3</v>
      </c>
      <c r="L312" s="52" t="s">
        <v>125</v>
      </c>
      <c r="N312" s="52" t="s">
        <v>126</v>
      </c>
      <c r="O312" s="52" t="s">
        <v>94</v>
      </c>
      <c r="P312" s="97">
        <v>0.18</v>
      </c>
      <c r="S312" s="100">
        <v>8102.9149295775096</v>
      </c>
      <c r="T312" s="100"/>
      <c r="U312" s="100">
        <v>0</v>
      </c>
      <c r="V312" s="100">
        <f t="shared" si="60"/>
        <v>8102.9149295775096</v>
      </c>
      <c r="W312" s="100">
        <f t="shared" si="63"/>
        <v>0</v>
      </c>
      <c r="X312" s="100"/>
      <c r="Y312" s="50">
        <f t="shared" si="45"/>
        <v>0</v>
      </c>
      <c r="Z312" s="50">
        <f t="shared" si="46"/>
        <v>0</v>
      </c>
      <c r="AA312" s="104">
        <f t="shared" si="54"/>
        <v>0</v>
      </c>
      <c r="AB312" s="100">
        <f t="shared" si="64"/>
        <v>0</v>
      </c>
      <c r="AC312" s="97">
        <v>0.05</v>
      </c>
      <c r="AD312" s="100"/>
      <c r="AG312" s="97">
        <v>0.42</v>
      </c>
      <c r="AH312" s="100">
        <f t="shared" si="61"/>
        <v>0</v>
      </c>
      <c r="AI312" s="100">
        <v>0</v>
      </c>
      <c r="AJ312" s="100">
        <f t="shared" si="57"/>
        <v>0</v>
      </c>
      <c r="AK312" s="100">
        <v>0</v>
      </c>
      <c r="AL312" s="100">
        <f t="shared" si="62"/>
        <v>0</v>
      </c>
      <c r="AM312" s="100">
        <f t="shared" si="65"/>
        <v>0</v>
      </c>
    </row>
    <row r="313" spans="1:40" hidden="1" x14ac:dyDescent="0.25">
      <c r="A313" s="106" t="s">
        <v>276</v>
      </c>
      <c r="B313" s="52" t="s">
        <v>71</v>
      </c>
      <c r="C313" s="52" t="s">
        <v>127</v>
      </c>
      <c r="D313" s="52" t="s">
        <v>128</v>
      </c>
      <c r="E313" s="52" t="s">
        <v>151</v>
      </c>
      <c r="F313" s="52" t="s">
        <v>152</v>
      </c>
      <c r="G313" s="52" t="s">
        <v>76</v>
      </c>
      <c r="H313" s="52" t="s">
        <v>77</v>
      </c>
      <c r="I313" s="45" t="s">
        <v>78</v>
      </c>
      <c r="J313" s="52" t="s">
        <v>78</v>
      </c>
      <c r="K313" s="52" t="s">
        <v>3</v>
      </c>
      <c r="L313" s="52" t="s">
        <v>125</v>
      </c>
      <c r="N313" s="52" t="s">
        <v>126</v>
      </c>
      <c r="O313" s="52" t="s">
        <v>94</v>
      </c>
      <c r="P313" s="46">
        <v>0.23</v>
      </c>
      <c r="S313" s="100">
        <v>2063.5353521120301</v>
      </c>
      <c r="T313" s="100"/>
      <c r="U313" s="100">
        <v>0</v>
      </c>
      <c r="V313" s="100">
        <f t="shared" si="60"/>
        <v>2063.5353521120301</v>
      </c>
      <c r="W313" s="100">
        <f t="shared" si="63"/>
        <v>0</v>
      </c>
      <c r="X313" s="100"/>
      <c r="Y313" s="50">
        <f t="shared" si="45"/>
        <v>0</v>
      </c>
      <c r="Z313" s="50">
        <f t="shared" si="46"/>
        <v>0</v>
      </c>
      <c r="AA313" s="104">
        <f t="shared" si="54"/>
        <v>0</v>
      </c>
      <c r="AB313" s="100">
        <f t="shared" si="64"/>
        <v>0</v>
      </c>
      <c r="AC313" s="97">
        <v>0.05</v>
      </c>
      <c r="AD313" s="100"/>
      <c r="AG313" s="97">
        <v>0.42</v>
      </c>
      <c r="AH313" s="100">
        <f t="shared" si="61"/>
        <v>0</v>
      </c>
      <c r="AI313" s="100">
        <v>0</v>
      </c>
      <c r="AJ313" s="100">
        <f t="shared" si="57"/>
        <v>0</v>
      </c>
      <c r="AK313" s="100">
        <v>0</v>
      </c>
      <c r="AL313" s="100">
        <f t="shared" si="62"/>
        <v>0</v>
      </c>
      <c r="AM313" s="100">
        <f t="shared" si="65"/>
        <v>0</v>
      </c>
    </row>
    <row r="314" spans="1:40" hidden="1" x14ac:dyDescent="0.25">
      <c r="A314" s="106" t="s">
        <v>276</v>
      </c>
      <c r="B314" s="52" t="s">
        <v>71</v>
      </c>
      <c r="C314" s="52" t="s">
        <v>127</v>
      </c>
      <c r="D314" s="52" t="s">
        <v>128</v>
      </c>
      <c r="E314" s="52" t="s">
        <v>131</v>
      </c>
      <c r="F314" s="52" t="s">
        <v>132</v>
      </c>
      <c r="G314" s="52" t="s">
        <v>76</v>
      </c>
      <c r="H314" s="52" t="s">
        <v>77</v>
      </c>
      <c r="I314" s="45" t="s">
        <v>78</v>
      </c>
      <c r="J314" s="52" t="s">
        <v>78</v>
      </c>
      <c r="K314" s="52" t="s">
        <v>3</v>
      </c>
      <c r="L314" s="52" t="s">
        <v>125</v>
      </c>
      <c r="N314" s="52" t="s">
        <v>126</v>
      </c>
      <c r="O314" s="52" t="s">
        <v>94</v>
      </c>
      <c r="P314" s="97">
        <v>0.03</v>
      </c>
      <c r="S314" s="100">
        <v>655.37999999978604</v>
      </c>
      <c r="T314" s="100"/>
      <c r="U314" s="100">
        <v>0</v>
      </c>
      <c r="V314" s="100">
        <f t="shared" si="60"/>
        <v>655.37999999978604</v>
      </c>
      <c r="W314" s="100">
        <f t="shared" si="63"/>
        <v>0</v>
      </c>
      <c r="X314" s="100"/>
      <c r="Y314" s="50">
        <f t="shared" si="45"/>
        <v>0</v>
      </c>
      <c r="Z314" s="50">
        <f t="shared" si="46"/>
        <v>0</v>
      </c>
      <c r="AA314" s="104">
        <f t="shared" si="54"/>
        <v>0</v>
      </c>
      <c r="AB314" s="100">
        <f t="shared" si="64"/>
        <v>0</v>
      </c>
      <c r="AC314" s="97">
        <v>0.05</v>
      </c>
      <c r="AD314" s="100"/>
      <c r="AG314" s="97">
        <v>0.42</v>
      </c>
      <c r="AH314" s="100">
        <f t="shared" si="61"/>
        <v>0</v>
      </c>
      <c r="AI314" s="100">
        <v>0</v>
      </c>
      <c r="AJ314" s="100">
        <f t="shared" si="57"/>
        <v>0</v>
      </c>
      <c r="AK314" s="100">
        <v>0</v>
      </c>
      <c r="AL314" s="100">
        <f t="shared" si="62"/>
        <v>0</v>
      </c>
      <c r="AM314" s="100">
        <f t="shared" si="65"/>
        <v>0</v>
      </c>
    </row>
    <row r="315" spans="1:40" hidden="1" x14ac:dyDescent="0.25">
      <c r="A315" s="106" t="s">
        <v>276</v>
      </c>
      <c r="B315" s="52" t="s">
        <v>71</v>
      </c>
      <c r="C315" s="52" t="s">
        <v>127</v>
      </c>
      <c r="D315" s="52" t="s">
        <v>128</v>
      </c>
      <c r="E315" s="52" t="s">
        <v>133</v>
      </c>
      <c r="F315" s="52" t="s">
        <v>134</v>
      </c>
      <c r="G315" s="52" t="s">
        <v>76</v>
      </c>
      <c r="H315" s="52" t="s">
        <v>77</v>
      </c>
      <c r="I315" s="45" t="s">
        <v>78</v>
      </c>
      <c r="J315" s="52" t="s">
        <v>78</v>
      </c>
      <c r="K315" s="52" t="s">
        <v>3</v>
      </c>
      <c r="L315" s="52" t="s">
        <v>125</v>
      </c>
      <c r="N315" s="52" t="s">
        <v>126</v>
      </c>
      <c r="O315" s="52" t="s">
        <v>94</v>
      </c>
      <c r="P315" s="97">
        <v>0.22</v>
      </c>
      <c r="S315" s="100">
        <v>354.84000000002601</v>
      </c>
      <c r="T315" s="100"/>
      <c r="U315" s="100">
        <v>0</v>
      </c>
      <c r="V315" s="100">
        <f t="shared" si="60"/>
        <v>354.84000000002601</v>
      </c>
      <c r="W315" s="100">
        <f t="shared" si="63"/>
        <v>0</v>
      </c>
      <c r="X315" s="100"/>
      <c r="Y315" s="50">
        <f t="shared" si="45"/>
        <v>0</v>
      </c>
      <c r="Z315" s="50">
        <f t="shared" si="46"/>
        <v>0</v>
      </c>
      <c r="AA315" s="104">
        <f t="shared" si="54"/>
        <v>0</v>
      </c>
      <c r="AB315" s="100">
        <f t="shared" si="64"/>
        <v>0</v>
      </c>
      <c r="AC315" s="97">
        <v>0.05</v>
      </c>
      <c r="AD315" s="100"/>
      <c r="AG315" s="97">
        <v>0.42</v>
      </c>
      <c r="AH315" s="100">
        <f t="shared" si="61"/>
        <v>0</v>
      </c>
      <c r="AI315" s="100">
        <v>0</v>
      </c>
      <c r="AJ315" s="100">
        <f t="shared" si="57"/>
        <v>0</v>
      </c>
      <c r="AK315" s="100">
        <v>0</v>
      </c>
      <c r="AL315" s="100">
        <f t="shared" si="62"/>
        <v>0</v>
      </c>
      <c r="AM315" s="100">
        <f t="shared" si="65"/>
        <v>0</v>
      </c>
    </row>
    <row r="316" spans="1:40" hidden="1" x14ac:dyDescent="0.25">
      <c r="A316" s="106" t="s">
        <v>276</v>
      </c>
      <c r="B316" s="52" t="s">
        <v>71</v>
      </c>
      <c r="C316" s="52" t="s">
        <v>127</v>
      </c>
      <c r="D316" s="52" t="s">
        <v>128</v>
      </c>
      <c r="E316" s="52" t="s">
        <v>138</v>
      </c>
      <c r="F316" s="52" t="s">
        <v>139</v>
      </c>
      <c r="G316" s="52" t="s">
        <v>76</v>
      </c>
      <c r="H316" s="52" t="s">
        <v>77</v>
      </c>
      <c r="I316" s="45" t="s">
        <v>78</v>
      </c>
      <c r="J316" s="52" t="s">
        <v>78</v>
      </c>
      <c r="K316" s="52" t="s">
        <v>3</v>
      </c>
      <c r="L316" s="52" t="s">
        <v>125</v>
      </c>
      <c r="N316" s="52" t="s">
        <v>126</v>
      </c>
      <c r="O316" s="52" t="s">
        <v>94</v>
      </c>
      <c r="P316" s="97">
        <v>0.04</v>
      </c>
      <c r="S316" s="100">
        <v>227.30774647876399</v>
      </c>
      <c r="T316" s="100"/>
      <c r="U316" s="100">
        <v>0</v>
      </c>
      <c r="V316" s="100">
        <f t="shared" si="60"/>
        <v>227.30774647876399</v>
      </c>
      <c r="W316" s="100">
        <f t="shared" si="63"/>
        <v>0</v>
      </c>
      <c r="X316" s="100"/>
      <c r="Y316" s="50">
        <f t="shared" si="45"/>
        <v>0</v>
      </c>
      <c r="Z316" s="50">
        <f t="shared" si="46"/>
        <v>0</v>
      </c>
      <c r="AA316" s="104">
        <f t="shared" si="54"/>
        <v>0</v>
      </c>
      <c r="AB316" s="100">
        <f t="shared" si="64"/>
        <v>0</v>
      </c>
      <c r="AC316" s="97">
        <v>0.05</v>
      </c>
      <c r="AD316" s="100"/>
      <c r="AG316" s="97">
        <v>0.42</v>
      </c>
      <c r="AH316" s="100">
        <f t="shared" si="61"/>
        <v>0</v>
      </c>
      <c r="AI316" s="100">
        <v>0</v>
      </c>
      <c r="AJ316" s="100">
        <f t="shared" si="57"/>
        <v>0</v>
      </c>
      <c r="AK316" s="100">
        <v>0</v>
      </c>
      <c r="AL316" s="100">
        <f t="shared" si="62"/>
        <v>0</v>
      </c>
      <c r="AM316" s="100">
        <f t="shared" si="65"/>
        <v>0</v>
      </c>
    </row>
    <row r="317" spans="1:40" hidden="1" x14ac:dyDescent="0.25">
      <c r="A317" s="106" t="s">
        <v>276</v>
      </c>
      <c r="B317" s="52" t="s">
        <v>71</v>
      </c>
      <c r="C317" s="52" t="s">
        <v>127</v>
      </c>
      <c r="D317" s="52" t="s">
        <v>128</v>
      </c>
      <c r="E317" s="52" t="s">
        <v>123</v>
      </c>
      <c r="F317" s="52" t="s">
        <v>140</v>
      </c>
      <c r="G317" s="52" t="s">
        <v>76</v>
      </c>
      <c r="H317" s="52" t="s">
        <v>77</v>
      </c>
      <c r="I317" s="45" t="s">
        <v>78</v>
      </c>
      <c r="J317" s="52" t="s">
        <v>78</v>
      </c>
      <c r="K317" s="52" t="s">
        <v>3</v>
      </c>
      <c r="L317" s="52" t="s">
        <v>125</v>
      </c>
      <c r="N317" s="52" t="s">
        <v>126</v>
      </c>
      <c r="O317" s="52" t="s">
        <v>94</v>
      </c>
      <c r="P317" s="97">
        <v>0.23</v>
      </c>
      <c r="S317" s="100">
        <v>152.264929577999</v>
      </c>
      <c r="T317" s="100"/>
      <c r="U317" s="100">
        <v>0</v>
      </c>
      <c r="V317" s="100">
        <f t="shared" si="60"/>
        <v>152.264929577999</v>
      </c>
      <c r="W317" s="100">
        <f t="shared" si="63"/>
        <v>0</v>
      </c>
      <c r="X317" s="100"/>
      <c r="Y317" s="50">
        <f t="shared" si="45"/>
        <v>0</v>
      </c>
      <c r="Z317" s="50">
        <f t="shared" si="46"/>
        <v>0</v>
      </c>
      <c r="AA317" s="104">
        <f t="shared" si="54"/>
        <v>0</v>
      </c>
      <c r="AB317" s="100">
        <f t="shared" si="64"/>
        <v>0</v>
      </c>
      <c r="AC317" s="97">
        <v>0.05</v>
      </c>
      <c r="AD317" s="100"/>
      <c r="AG317" s="97">
        <v>0.42</v>
      </c>
      <c r="AH317" s="100">
        <f t="shared" si="61"/>
        <v>0</v>
      </c>
      <c r="AI317" s="100">
        <v>0</v>
      </c>
      <c r="AJ317" s="100">
        <f t="shared" si="57"/>
        <v>0</v>
      </c>
      <c r="AK317" s="100">
        <v>0</v>
      </c>
      <c r="AL317" s="100">
        <f t="shared" si="62"/>
        <v>0</v>
      </c>
      <c r="AM317" s="100">
        <f t="shared" si="65"/>
        <v>0</v>
      </c>
    </row>
    <row r="318" spans="1:40" hidden="1" x14ac:dyDescent="0.25">
      <c r="A318" s="106" t="s">
        <v>276</v>
      </c>
      <c r="B318" s="52" t="s">
        <v>71</v>
      </c>
      <c r="C318" s="52" t="s">
        <v>127</v>
      </c>
      <c r="D318" s="52" t="s">
        <v>128</v>
      </c>
      <c r="E318" s="52" t="s">
        <v>141</v>
      </c>
      <c r="F318" s="52" t="s">
        <v>142</v>
      </c>
      <c r="G318" s="52" t="s">
        <v>76</v>
      </c>
      <c r="H318" s="52" t="s">
        <v>77</v>
      </c>
      <c r="I318" s="45" t="s">
        <v>78</v>
      </c>
      <c r="J318" s="52" t="s">
        <v>78</v>
      </c>
      <c r="K318" s="52" t="s">
        <v>3</v>
      </c>
      <c r="L318" s="52" t="s">
        <v>125</v>
      </c>
      <c r="N318" s="52" t="s">
        <v>126</v>
      </c>
      <c r="O318" s="52" t="s">
        <v>94</v>
      </c>
      <c r="P318" s="97">
        <v>0.13</v>
      </c>
      <c r="S318" s="100">
        <v>-30329.470000000099</v>
      </c>
      <c r="T318" s="100"/>
      <c r="U318" s="100">
        <v>0</v>
      </c>
      <c r="V318" s="100">
        <f t="shared" si="60"/>
        <v>-30329.470000000099</v>
      </c>
      <c r="W318" s="100">
        <f t="shared" si="63"/>
        <v>0</v>
      </c>
      <c r="X318" s="100"/>
      <c r="Y318" s="50">
        <f t="shared" si="45"/>
        <v>0</v>
      </c>
      <c r="Z318" s="50">
        <f t="shared" si="46"/>
        <v>0</v>
      </c>
      <c r="AA318" s="104">
        <f t="shared" si="54"/>
        <v>0</v>
      </c>
      <c r="AB318" s="100">
        <f t="shared" si="64"/>
        <v>0</v>
      </c>
      <c r="AC318" s="97">
        <v>0.05</v>
      </c>
      <c r="AD318" s="100"/>
      <c r="AG318" s="97">
        <v>0.42</v>
      </c>
      <c r="AH318" s="100">
        <f t="shared" si="61"/>
        <v>0</v>
      </c>
      <c r="AI318" s="100">
        <v>0</v>
      </c>
      <c r="AJ318" s="100">
        <f t="shared" si="57"/>
        <v>0</v>
      </c>
      <c r="AK318" s="100">
        <v>0</v>
      </c>
      <c r="AL318" s="100">
        <f t="shared" si="62"/>
        <v>0</v>
      </c>
      <c r="AM318" s="100">
        <f t="shared" si="65"/>
        <v>0</v>
      </c>
    </row>
    <row r="319" spans="1:40" hidden="1" x14ac:dyDescent="0.25">
      <c r="A319" s="106" t="s">
        <v>276</v>
      </c>
      <c r="B319" s="52" t="s">
        <v>71</v>
      </c>
      <c r="C319" s="52" t="s">
        <v>127</v>
      </c>
      <c r="D319" s="52" t="s">
        <v>128</v>
      </c>
      <c r="E319" s="52" t="s">
        <v>143</v>
      </c>
      <c r="F319" s="52" t="s">
        <v>144</v>
      </c>
      <c r="G319" s="52" t="s">
        <v>76</v>
      </c>
      <c r="H319" s="52" t="s">
        <v>77</v>
      </c>
      <c r="I319" s="45" t="s">
        <v>78</v>
      </c>
      <c r="J319" s="52" t="s">
        <v>78</v>
      </c>
      <c r="K319" s="52" t="s">
        <v>3</v>
      </c>
      <c r="L319" s="52" t="s">
        <v>125</v>
      </c>
      <c r="N319" s="52" t="s">
        <v>126</v>
      </c>
      <c r="O319" s="52" t="s">
        <v>94</v>
      </c>
      <c r="P319" s="97">
        <v>0.03</v>
      </c>
      <c r="S319" s="100">
        <v>425.555211267598</v>
      </c>
      <c r="T319" s="100"/>
      <c r="U319" s="100">
        <v>0</v>
      </c>
      <c r="V319" s="100">
        <f t="shared" si="60"/>
        <v>425.555211267598</v>
      </c>
      <c r="W319" s="100">
        <f t="shared" si="63"/>
        <v>0</v>
      </c>
      <c r="X319" s="100"/>
      <c r="Y319" s="50">
        <f t="shared" si="45"/>
        <v>0</v>
      </c>
      <c r="Z319" s="50">
        <f t="shared" si="46"/>
        <v>0</v>
      </c>
      <c r="AA319" s="104">
        <f t="shared" si="54"/>
        <v>0</v>
      </c>
      <c r="AB319" s="100">
        <f t="shared" si="64"/>
        <v>0</v>
      </c>
      <c r="AC319" s="97">
        <v>0.05</v>
      </c>
      <c r="AD319" s="100"/>
      <c r="AG319" s="97">
        <v>0.42</v>
      </c>
      <c r="AH319" s="100">
        <f t="shared" si="61"/>
        <v>0</v>
      </c>
      <c r="AI319" s="100">
        <v>0</v>
      </c>
      <c r="AJ319" s="100">
        <f t="shared" si="57"/>
        <v>0</v>
      </c>
      <c r="AK319" s="100">
        <v>0</v>
      </c>
      <c r="AL319" s="100">
        <f t="shared" si="62"/>
        <v>0</v>
      </c>
      <c r="AM319" s="100">
        <f t="shared" si="65"/>
        <v>0</v>
      </c>
    </row>
    <row r="320" spans="1:40" hidden="1" x14ac:dyDescent="0.25">
      <c r="A320" s="106" t="s">
        <v>276</v>
      </c>
      <c r="B320" s="52" t="s">
        <v>71</v>
      </c>
      <c r="C320" s="52" t="s">
        <v>127</v>
      </c>
      <c r="D320" s="52" t="s">
        <v>128</v>
      </c>
      <c r="E320" s="52" t="s">
        <v>145</v>
      </c>
      <c r="F320" s="52" t="s">
        <v>146</v>
      </c>
      <c r="G320" s="52" t="s">
        <v>76</v>
      </c>
      <c r="H320" s="52" t="s">
        <v>77</v>
      </c>
      <c r="I320" s="45" t="s">
        <v>78</v>
      </c>
      <c r="J320" s="52" t="s">
        <v>78</v>
      </c>
      <c r="K320" s="52" t="s">
        <v>3</v>
      </c>
      <c r="L320" s="52" t="s">
        <v>125</v>
      </c>
      <c r="N320" s="52" t="s">
        <v>126</v>
      </c>
      <c r="O320" s="52" t="s">
        <v>94</v>
      </c>
      <c r="P320" s="97">
        <v>0.22</v>
      </c>
      <c r="S320" s="100">
        <v>1402.38690140774</v>
      </c>
      <c r="T320" s="100"/>
      <c r="U320" s="100">
        <v>0</v>
      </c>
      <c r="V320" s="100">
        <f t="shared" si="60"/>
        <v>1402.38690140774</v>
      </c>
      <c r="W320" s="100">
        <f t="shared" si="63"/>
        <v>0</v>
      </c>
      <c r="X320" s="100"/>
      <c r="Y320" s="50">
        <f t="shared" si="45"/>
        <v>0</v>
      </c>
      <c r="Z320" s="50">
        <f t="shared" si="46"/>
        <v>0</v>
      </c>
      <c r="AA320" s="104">
        <f t="shared" si="54"/>
        <v>0</v>
      </c>
      <c r="AB320" s="100">
        <f t="shared" si="64"/>
        <v>0</v>
      </c>
      <c r="AC320" s="97">
        <v>0.05</v>
      </c>
      <c r="AD320" s="100"/>
      <c r="AG320" s="97">
        <v>0.42</v>
      </c>
      <c r="AH320" s="100">
        <f t="shared" si="61"/>
        <v>0</v>
      </c>
      <c r="AI320" s="100">
        <v>0</v>
      </c>
      <c r="AJ320" s="100">
        <f t="shared" si="57"/>
        <v>0</v>
      </c>
      <c r="AK320" s="100">
        <v>0</v>
      </c>
      <c r="AL320" s="100">
        <f t="shared" si="62"/>
        <v>0</v>
      </c>
      <c r="AM320" s="100">
        <f t="shared" si="65"/>
        <v>0</v>
      </c>
    </row>
    <row r="321" spans="1:39" hidden="1" x14ac:dyDescent="0.25">
      <c r="A321" s="106" t="s">
        <v>276</v>
      </c>
      <c r="B321" s="52" t="s">
        <v>71</v>
      </c>
      <c r="C321" s="52" t="s">
        <v>127</v>
      </c>
      <c r="D321" s="52" t="s">
        <v>128</v>
      </c>
      <c r="E321" s="52" t="s">
        <v>147</v>
      </c>
      <c r="F321" s="52" t="s">
        <v>148</v>
      </c>
      <c r="G321" s="52" t="s">
        <v>76</v>
      </c>
      <c r="H321" s="52" t="s">
        <v>77</v>
      </c>
      <c r="I321" s="45" t="s">
        <v>78</v>
      </c>
      <c r="J321" s="52" t="s">
        <v>78</v>
      </c>
      <c r="K321" s="52" t="s">
        <v>3</v>
      </c>
      <c r="L321" s="52" t="s">
        <v>125</v>
      </c>
      <c r="N321" s="52" t="s">
        <v>126</v>
      </c>
      <c r="O321" s="52" t="s">
        <v>94</v>
      </c>
      <c r="P321" s="97">
        <v>0.23</v>
      </c>
      <c r="S321" s="100">
        <v>12961.68</v>
      </c>
      <c r="T321" s="100"/>
      <c r="U321" s="100">
        <v>0</v>
      </c>
      <c r="V321" s="100">
        <f t="shared" si="60"/>
        <v>12961.68</v>
      </c>
      <c r="W321" s="100">
        <f t="shared" si="63"/>
        <v>0</v>
      </c>
      <c r="X321" s="100"/>
      <c r="Y321" s="50">
        <f t="shared" si="45"/>
        <v>0</v>
      </c>
      <c r="Z321" s="50">
        <f t="shared" si="46"/>
        <v>0</v>
      </c>
      <c r="AA321" s="104">
        <f t="shared" si="54"/>
        <v>0</v>
      </c>
      <c r="AB321" s="100">
        <f t="shared" si="64"/>
        <v>0</v>
      </c>
      <c r="AC321" s="97">
        <v>0.05</v>
      </c>
      <c r="AD321" s="100"/>
      <c r="AG321" s="97">
        <v>0.42</v>
      </c>
      <c r="AH321" s="100">
        <f t="shared" si="61"/>
        <v>0</v>
      </c>
      <c r="AI321" s="100">
        <v>0</v>
      </c>
      <c r="AJ321" s="100">
        <f t="shared" si="57"/>
        <v>0</v>
      </c>
      <c r="AK321" s="100">
        <v>0</v>
      </c>
      <c r="AL321" s="100">
        <f t="shared" si="62"/>
        <v>0</v>
      </c>
      <c r="AM321" s="100">
        <f t="shared" si="65"/>
        <v>0</v>
      </c>
    </row>
    <row r="322" spans="1:39" hidden="1" x14ac:dyDescent="0.25">
      <c r="A322" s="106" t="s">
        <v>276</v>
      </c>
      <c r="B322" s="52" t="s">
        <v>71</v>
      </c>
      <c r="C322" s="52" t="s">
        <v>127</v>
      </c>
      <c r="D322" s="52" t="s">
        <v>128</v>
      </c>
      <c r="E322" s="52" t="s">
        <v>149</v>
      </c>
      <c r="F322" s="52" t="s">
        <v>150</v>
      </c>
      <c r="G322" s="52" t="s">
        <v>76</v>
      </c>
      <c r="H322" s="52" t="s">
        <v>77</v>
      </c>
      <c r="I322" s="45" t="s">
        <v>78</v>
      </c>
      <c r="J322" s="52" t="s">
        <v>78</v>
      </c>
      <c r="K322" s="52" t="s">
        <v>3</v>
      </c>
      <c r="L322" s="52" t="s">
        <v>125</v>
      </c>
      <c r="N322" s="52" t="s">
        <v>126</v>
      </c>
      <c r="O322" s="52" t="s">
        <v>94</v>
      </c>
      <c r="P322" s="97">
        <v>0.13</v>
      </c>
      <c r="S322" s="100">
        <v>143.460985915328</v>
      </c>
      <c r="T322" s="100"/>
      <c r="U322" s="100">
        <v>0</v>
      </c>
      <c r="V322" s="100">
        <f t="shared" si="60"/>
        <v>143.460985915328</v>
      </c>
      <c r="W322" s="100">
        <f t="shared" si="63"/>
        <v>0</v>
      </c>
      <c r="X322" s="100"/>
      <c r="Y322" s="50">
        <f t="shared" ref="Y322:Y385" si="66">IF(W322-AB322&lt;0,0,IF(O322="返现",MAX(W322-AA322-AB322,0),MAX(W322-AB322,0)))</f>
        <v>0</v>
      </c>
      <c r="Z322" s="50">
        <f t="shared" ref="Z322:Z385" si="67">W322+X322+AN322</f>
        <v>0</v>
      </c>
      <c r="AA322" s="104">
        <f t="shared" si="54"/>
        <v>0</v>
      </c>
      <c r="AB322" s="100">
        <f t="shared" si="64"/>
        <v>0</v>
      </c>
      <c r="AC322" s="97">
        <v>0.05</v>
      </c>
      <c r="AD322" s="100"/>
      <c r="AG322" s="97">
        <v>0.42</v>
      </c>
      <c r="AH322" s="100">
        <f t="shared" si="61"/>
        <v>0</v>
      </c>
      <c r="AI322" s="100">
        <v>0</v>
      </c>
      <c r="AJ322" s="100">
        <f t="shared" si="57"/>
        <v>0</v>
      </c>
      <c r="AK322" s="100">
        <v>0</v>
      </c>
      <c r="AL322" s="100">
        <f t="shared" si="62"/>
        <v>0</v>
      </c>
      <c r="AM322" s="100">
        <f t="shared" si="65"/>
        <v>0</v>
      </c>
    </row>
    <row r="323" spans="1:39" hidden="1" x14ac:dyDescent="0.25">
      <c r="A323" s="106" t="s">
        <v>276</v>
      </c>
      <c r="B323" s="52" t="s">
        <v>71</v>
      </c>
      <c r="C323" s="52" t="s">
        <v>127</v>
      </c>
      <c r="D323" s="52" t="s">
        <v>153</v>
      </c>
      <c r="E323" s="52" t="s">
        <v>154</v>
      </c>
      <c r="F323" s="52" t="s">
        <v>155</v>
      </c>
      <c r="G323" s="52" t="s">
        <v>76</v>
      </c>
      <c r="H323" s="52" t="s">
        <v>77</v>
      </c>
      <c r="I323" s="45" t="s">
        <v>78</v>
      </c>
      <c r="J323" s="52" t="s">
        <v>78</v>
      </c>
      <c r="K323" s="52" t="s">
        <v>3</v>
      </c>
      <c r="L323" s="52" t="s">
        <v>125</v>
      </c>
      <c r="N323" s="52" t="s">
        <v>126</v>
      </c>
      <c r="O323" s="52" t="s">
        <v>94</v>
      </c>
      <c r="P323" s="97">
        <v>0.18</v>
      </c>
      <c r="S323" s="100">
        <v>42851.614929577998</v>
      </c>
      <c r="T323" s="100"/>
      <c r="U323" s="100">
        <v>0</v>
      </c>
      <c r="V323" s="100">
        <f t="shared" si="60"/>
        <v>42851.614929577998</v>
      </c>
      <c r="W323" s="100">
        <f t="shared" si="63"/>
        <v>0</v>
      </c>
      <c r="X323" s="100"/>
      <c r="Y323" s="50">
        <f t="shared" si="66"/>
        <v>0</v>
      </c>
      <c r="Z323" s="50">
        <f t="shared" si="67"/>
        <v>0</v>
      </c>
      <c r="AA323" s="104">
        <f t="shared" si="54"/>
        <v>0</v>
      </c>
      <c r="AB323" s="100">
        <f t="shared" si="64"/>
        <v>0</v>
      </c>
      <c r="AC323" s="97">
        <v>0.05</v>
      </c>
      <c r="AD323" s="100"/>
      <c r="AG323" s="97">
        <v>0.42</v>
      </c>
      <c r="AH323" s="100">
        <f t="shared" si="61"/>
        <v>0</v>
      </c>
      <c r="AI323" s="100">
        <v>29942.36</v>
      </c>
      <c r="AJ323" s="100">
        <f t="shared" si="57"/>
        <v>0</v>
      </c>
      <c r="AK323" s="100">
        <v>0</v>
      </c>
      <c r="AL323" s="100">
        <f t="shared" si="62"/>
        <v>29942.36</v>
      </c>
      <c r="AM323" s="100">
        <f t="shared" si="65"/>
        <v>0</v>
      </c>
    </row>
    <row r="324" spans="1:39" hidden="1" x14ac:dyDescent="0.25">
      <c r="A324" s="106" t="s">
        <v>276</v>
      </c>
      <c r="B324" s="52" t="s">
        <v>71</v>
      </c>
      <c r="C324" s="52" t="s">
        <v>127</v>
      </c>
      <c r="D324" s="52" t="s">
        <v>153</v>
      </c>
      <c r="E324" s="52" t="s">
        <v>125</v>
      </c>
      <c r="F324" s="52" t="s">
        <v>156</v>
      </c>
      <c r="G324" s="52" t="s">
        <v>76</v>
      </c>
      <c r="H324" s="52" t="s">
        <v>77</v>
      </c>
      <c r="I324" s="45" t="s">
        <v>78</v>
      </c>
      <c r="J324" s="52" t="s">
        <v>78</v>
      </c>
      <c r="K324" s="52" t="s">
        <v>3</v>
      </c>
      <c r="L324" s="52" t="s">
        <v>125</v>
      </c>
      <c r="N324" s="52" t="s">
        <v>126</v>
      </c>
      <c r="O324" s="52" t="s">
        <v>94</v>
      </c>
      <c r="P324" s="97">
        <v>0.08</v>
      </c>
      <c r="S324" s="100">
        <v>29897.39</v>
      </c>
      <c r="T324" s="100"/>
      <c r="U324" s="100">
        <v>0</v>
      </c>
      <c r="V324" s="100">
        <f t="shared" si="60"/>
        <v>29897.39</v>
      </c>
      <c r="W324" s="100">
        <f t="shared" si="63"/>
        <v>0</v>
      </c>
      <c r="X324" s="100"/>
      <c r="Y324" s="50">
        <f t="shared" si="66"/>
        <v>0</v>
      </c>
      <c r="Z324" s="50">
        <f t="shared" si="67"/>
        <v>0</v>
      </c>
      <c r="AA324" s="104">
        <f t="shared" si="54"/>
        <v>0</v>
      </c>
      <c r="AB324" s="100">
        <f t="shared" si="64"/>
        <v>0</v>
      </c>
      <c r="AC324" s="97">
        <v>0.05</v>
      </c>
      <c r="AD324" s="100"/>
      <c r="AG324" s="97">
        <v>0.42</v>
      </c>
      <c r="AH324" s="100">
        <f t="shared" si="61"/>
        <v>0</v>
      </c>
      <c r="AI324" s="100">
        <v>0</v>
      </c>
      <c r="AJ324" s="100">
        <f t="shared" si="57"/>
        <v>0</v>
      </c>
      <c r="AK324" s="100">
        <v>0</v>
      </c>
      <c r="AL324" s="100">
        <f t="shared" si="62"/>
        <v>0</v>
      </c>
      <c r="AM324" s="100">
        <f t="shared" si="65"/>
        <v>0</v>
      </c>
    </row>
    <row r="325" spans="1:39" hidden="1" x14ac:dyDescent="0.25">
      <c r="A325" s="106" t="s">
        <v>276</v>
      </c>
      <c r="B325" s="52" t="s">
        <v>71</v>
      </c>
      <c r="C325" s="52" t="s">
        <v>127</v>
      </c>
      <c r="D325" s="52" t="s">
        <v>153</v>
      </c>
      <c r="E325" s="52" t="s">
        <v>157</v>
      </c>
      <c r="F325" s="52" t="s">
        <v>158</v>
      </c>
      <c r="G325" s="52" t="s">
        <v>76</v>
      </c>
      <c r="H325" s="52" t="s">
        <v>77</v>
      </c>
      <c r="I325" s="45" t="s">
        <v>78</v>
      </c>
      <c r="J325" s="52" t="s">
        <v>78</v>
      </c>
      <c r="K325" s="52" t="s">
        <v>3</v>
      </c>
      <c r="L325" s="52" t="s">
        <v>125</v>
      </c>
      <c r="N325" s="52" t="s">
        <v>126</v>
      </c>
      <c r="O325" s="52" t="s">
        <v>94</v>
      </c>
      <c r="P325" s="97">
        <v>0.08</v>
      </c>
      <c r="S325" s="100">
        <v>20014.111126760599</v>
      </c>
      <c r="T325" s="100"/>
      <c r="U325" s="100">
        <v>0</v>
      </c>
      <c r="V325" s="100">
        <f t="shared" si="60"/>
        <v>20014.111126760599</v>
      </c>
      <c r="W325" s="100">
        <f t="shared" si="63"/>
        <v>0</v>
      </c>
      <c r="X325" s="100"/>
      <c r="Y325" s="50">
        <f t="shared" si="66"/>
        <v>0</v>
      </c>
      <c r="Z325" s="50">
        <f t="shared" si="67"/>
        <v>0</v>
      </c>
      <c r="AA325" s="104">
        <f t="shared" ref="AA325:AA356" si="68">IF(O325="返现",W325*P325,U325-W325)</f>
        <v>0</v>
      </c>
      <c r="AB325" s="100">
        <f t="shared" si="64"/>
        <v>0</v>
      </c>
      <c r="AC325" s="97">
        <v>0.05</v>
      </c>
      <c r="AD325" s="100"/>
      <c r="AG325" s="97">
        <v>0.42</v>
      </c>
      <c r="AH325" s="100">
        <f t="shared" si="61"/>
        <v>0</v>
      </c>
      <c r="AI325" s="100">
        <v>0</v>
      </c>
      <c r="AJ325" s="100">
        <f t="shared" ref="AJ325:AJ352" si="69">T325*AG325</f>
        <v>0</v>
      </c>
      <c r="AK325" s="100">
        <v>0</v>
      </c>
      <c r="AL325" s="100">
        <f t="shared" si="62"/>
        <v>0</v>
      </c>
      <c r="AM325" s="100">
        <f t="shared" si="65"/>
        <v>0</v>
      </c>
    </row>
    <row r="326" spans="1:39" hidden="1" x14ac:dyDescent="0.25">
      <c r="A326" s="106" t="s">
        <v>276</v>
      </c>
      <c r="B326" s="52" t="s">
        <v>71</v>
      </c>
      <c r="C326" s="52" t="s">
        <v>127</v>
      </c>
      <c r="D326" s="52" t="s">
        <v>153</v>
      </c>
      <c r="E326" s="52" t="s">
        <v>159</v>
      </c>
      <c r="F326" s="52" t="s">
        <v>160</v>
      </c>
      <c r="G326" s="52" t="s">
        <v>76</v>
      </c>
      <c r="H326" s="52" t="s">
        <v>77</v>
      </c>
      <c r="I326" s="45" t="s">
        <v>78</v>
      </c>
      <c r="J326" s="52" t="s">
        <v>78</v>
      </c>
      <c r="K326" s="52" t="s">
        <v>3</v>
      </c>
      <c r="L326" s="52" t="s">
        <v>125</v>
      </c>
      <c r="N326" s="52" t="s">
        <v>126</v>
      </c>
      <c r="O326" s="52" t="s">
        <v>94</v>
      </c>
      <c r="P326" s="97">
        <v>0.04</v>
      </c>
      <c r="S326" s="100">
        <v>322.47394365991897</v>
      </c>
      <c r="T326" s="100"/>
      <c r="U326" s="100">
        <v>0</v>
      </c>
      <c r="V326" s="100">
        <f t="shared" si="60"/>
        <v>322.47394365991897</v>
      </c>
      <c r="W326" s="100">
        <f t="shared" si="63"/>
        <v>0</v>
      </c>
      <c r="X326" s="100"/>
      <c r="Y326" s="50">
        <f t="shared" si="66"/>
        <v>0</v>
      </c>
      <c r="Z326" s="50">
        <f t="shared" si="67"/>
        <v>0</v>
      </c>
      <c r="AA326" s="104">
        <f t="shared" si="68"/>
        <v>0</v>
      </c>
      <c r="AB326" s="100">
        <f t="shared" si="64"/>
        <v>0</v>
      </c>
      <c r="AC326" s="97">
        <v>0.05</v>
      </c>
      <c r="AD326" s="100"/>
      <c r="AG326" s="97">
        <v>0.42</v>
      </c>
      <c r="AH326" s="100">
        <f t="shared" si="61"/>
        <v>0</v>
      </c>
      <c r="AI326" s="100">
        <v>0</v>
      </c>
      <c r="AJ326" s="100">
        <f t="shared" si="69"/>
        <v>0</v>
      </c>
      <c r="AK326" s="100">
        <v>0</v>
      </c>
      <c r="AL326" s="100">
        <f t="shared" si="62"/>
        <v>0</v>
      </c>
      <c r="AM326" s="100">
        <f t="shared" si="65"/>
        <v>0</v>
      </c>
    </row>
    <row r="327" spans="1:39" hidden="1" x14ac:dyDescent="0.25">
      <c r="A327" s="106" t="s">
        <v>276</v>
      </c>
      <c r="B327" s="52" t="s">
        <v>71</v>
      </c>
      <c r="C327" s="52" t="s">
        <v>127</v>
      </c>
      <c r="D327" s="52" t="s">
        <v>153</v>
      </c>
      <c r="E327" s="52" t="s">
        <v>161</v>
      </c>
      <c r="F327" s="52" t="s">
        <v>162</v>
      </c>
      <c r="G327" s="52" t="s">
        <v>76</v>
      </c>
      <c r="H327" s="52" t="s">
        <v>77</v>
      </c>
      <c r="I327" s="45" t="s">
        <v>78</v>
      </c>
      <c r="J327" s="52" t="s">
        <v>78</v>
      </c>
      <c r="K327" s="52" t="s">
        <v>3</v>
      </c>
      <c r="L327" s="52" t="s">
        <v>125</v>
      </c>
      <c r="N327" s="52" t="s">
        <v>126</v>
      </c>
      <c r="O327" s="52" t="s">
        <v>94</v>
      </c>
      <c r="P327" s="97">
        <v>0.23</v>
      </c>
      <c r="S327" s="100">
        <v>196.54507042269699</v>
      </c>
      <c r="T327" s="100"/>
      <c r="U327" s="100">
        <v>0</v>
      </c>
      <c r="V327" s="100">
        <f t="shared" si="60"/>
        <v>196.54507042269699</v>
      </c>
      <c r="W327" s="100">
        <f t="shared" si="63"/>
        <v>0</v>
      </c>
      <c r="X327" s="100"/>
      <c r="Y327" s="50">
        <f t="shared" si="66"/>
        <v>0</v>
      </c>
      <c r="Z327" s="50">
        <f t="shared" si="67"/>
        <v>0</v>
      </c>
      <c r="AA327" s="104">
        <f t="shared" si="68"/>
        <v>0</v>
      </c>
      <c r="AB327" s="100">
        <f t="shared" si="64"/>
        <v>0</v>
      </c>
      <c r="AC327" s="97">
        <v>0.05</v>
      </c>
      <c r="AD327" s="100"/>
      <c r="AG327" s="97">
        <v>0.42</v>
      </c>
      <c r="AH327" s="100">
        <f t="shared" si="61"/>
        <v>0</v>
      </c>
      <c r="AI327" s="100">
        <v>0</v>
      </c>
      <c r="AJ327" s="100">
        <f t="shared" si="69"/>
        <v>0</v>
      </c>
      <c r="AK327" s="100">
        <v>0</v>
      </c>
      <c r="AL327" s="100">
        <f t="shared" si="62"/>
        <v>0</v>
      </c>
      <c r="AM327" s="100">
        <f t="shared" si="65"/>
        <v>0</v>
      </c>
    </row>
    <row r="328" spans="1:39" hidden="1" x14ac:dyDescent="0.25">
      <c r="A328" s="106" t="s">
        <v>276</v>
      </c>
      <c r="B328" s="52" t="s">
        <v>71</v>
      </c>
      <c r="C328" s="52" t="s">
        <v>127</v>
      </c>
      <c r="D328" s="52" t="s">
        <v>153</v>
      </c>
      <c r="E328" s="52" t="s">
        <v>163</v>
      </c>
      <c r="F328" s="52" t="s">
        <v>164</v>
      </c>
      <c r="G328" s="52" t="s">
        <v>76</v>
      </c>
      <c r="H328" s="52" t="s">
        <v>77</v>
      </c>
      <c r="I328" s="45" t="s">
        <v>78</v>
      </c>
      <c r="J328" s="52" t="s">
        <v>78</v>
      </c>
      <c r="K328" s="52" t="s">
        <v>3</v>
      </c>
      <c r="L328" s="52" t="s">
        <v>125</v>
      </c>
      <c r="N328" s="52" t="s">
        <v>126</v>
      </c>
      <c r="O328" s="52" t="s">
        <v>94</v>
      </c>
      <c r="P328" s="97">
        <v>0.03</v>
      </c>
      <c r="S328" s="100">
        <v>1513.0032394366101</v>
      </c>
      <c r="T328" s="100"/>
      <c r="U328" s="100">
        <v>0</v>
      </c>
      <c r="V328" s="100">
        <f t="shared" si="60"/>
        <v>1513.0032394366101</v>
      </c>
      <c r="W328" s="100">
        <f t="shared" si="63"/>
        <v>0</v>
      </c>
      <c r="X328" s="100"/>
      <c r="Y328" s="50">
        <f t="shared" si="66"/>
        <v>0</v>
      </c>
      <c r="Z328" s="50">
        <f t="shared" si="67"/>
        <v>0</v>
      </c>
      <c r="AA328" s="104">
        <f t="shared" si="68"/>
        <v>0</v>
      </c>
      <c r="AB328" s="100">
        <f t="shared" si="64"/>
        <v>0</v>
      </c>
      <c r="AC328" s="97">
        <v>0.05</v>
      </c>
      <c r="AD328" s="100"/>
      <c r="AG328" s="97">
        <v>0.42</v>
      </c>
      <c r="AH328" s="100">
        <f t="shared" si="61"/>
        <v>0</v>
      </c>
      <c r="AI328" s="100">
        <v>0</v>
      </c>
      <c r="AJ328" s="100">
        <f t="shared" si="69"/>
        <v>0</v>
      </c>
      <c r="AK328" s="100">
        <v>0</v>
      </c>
      <c r="AL328" s="100">
        <f t="shared" si="62"/>
        <v>0</v>
      </c>
      <c r="AM328" s="100">
        <f t="shared" si="65"/>
        <v>0</v>
      </c>
    </row>
    <row r="329" spans="1:39" hidden="1" x14ac:dyDescent="0.25">
      <c r="A329" s="106" t="s">
        <v>276</v>
      </c>
      <c r="B329" s="52" t="s">
        <v>71</v>
      </c>
      <c r="C329" s="52" t="s">
        <v>127</v>
      </c>
      <c r="D329" s="52" t="s">
        <v>153</v>
      </c>
      <c r="E329" s="52" t="s">
        <v>165</v>
      </c>
      <c r="F329" s="52" t="s">
        <v>166</v>
      </c>
      <c r="G329" s="52" t="s">
        <v>76</v>
      </c>
      <c r="H329" s="52" t="s">
        <v>77</v>
      </c>
      <c r="I329" s="45" t="s">
        <v>78</v>
      </c>
      <c r="J329" s="52" t="s">
        <v>78</v>
      </c>
      <c r="K329" s="52" t="s">
        <v>3</v>
      </c>
      <c r="L329" s="52" t="s">
        <v>125</v>
      </c>
      <c r="N329" s="52" t="s">
        <v>126</v>
      </c>
      <c r="O329" s="52" t="s">
        <v>94</v>
      </c>
      <c r="P329" s="97">
        <v>0.03</v>
      </c>
      <c r="S329" s="100">
        <v>6504.6216901406997</v>
      </c>
      <c r="T329" s="100"/>
      <c r="U329" s="100">
        <v>0</v>
      </c>
      <c r="V329" s="100">
        <f t="shared" si="60"/>
        <v>6504.6216901406997</v>
      </c>
      <c r="W329" s="100">
        <f t="shared" si="63"/>
        <v>0</v>
      </c>
      <c r="X329" s="100"/>
      <c r="Y329" s="50">
        <f t="shared" si="66"/>
        <v>0</v>
      </c>
      <c r="Z329" s="50">
        <f t="shared" si="67"/>
        <v>0</v>
      </c>
      <c r="AA329" s="104">
        <f t="shared" si="68"/>
        <v>0</v>
      </c>
      <c r="AB329" s="100">
        <f t="shared" si="64"/>
        <v>0</v>
      </c>
      <c r="AC329" s="97">
        <v>0.05</v>
      </c>
      <c r="AD329" s="100"/>
      <c r="AG329" s="97">
        <v>0</v>
      </c>
      <c r="AH329" s="100">
        <f t="shared" si="61"/>
        <v>0</v>
      </c>
      <c r="AI329" s="100">
        <v>0</v>
      </c>
      <c r="AJ329" s="100">
        <f t="shared" si="69"/>
        <v>0</v>
      </c>
      <c r="AK329" s="100">
        <v>0</v>
      </c>
      <c r="AL329" s="100">
        <f t="shared" si="62"/>
        <v>0</v>
      </c>
      <c r="AM329" s="100">
        <f t="shared" si="65"/>
        <v>0</v>
      </c>
    </row>
    <row r="330" spans="1:39" hidden="1" x14ac:dyDescent="0.25">
      <c r="A330" s="106" t="s">
        <v>276</v>
      </c>
      <c r="B330" s="52" t="s">
        <v>71</v>
      </c>
      <c r="C330" s="52" t="s">
        <v>127</v>
      </c>
      <c r="D330" s="52" t="s">
        <v>153</v>
      </c>
      <c r="E330" s="52" t="s">
        <v>167</v>
      </c>
      <c r="F330" s="52" t="s">
        <v>168</v>
      </c>
      <c r="G330" s="52" t="s">
        <v>76</v>
      </c>
      <c r="H330" s="52" t="s">
        <v>77</v>
      </c>
      <c r="I330" s="45" t="s">
        <v>78</v>
      </c>
      <c r="J330" s="52" t="s">
        <v>78</v>
      </c>
      <c r="K330" s="52" t="s">
        <v>3</v>
      </c>
      <c r="L330" s="52" t="s">
        <v>125</v>
      </c>
      <c r="N330" s="52" t="s">
        <v>126</v>
      </c>
      <c r="O330" s="52" t="s">
        <v>94</v>
      </c>
      <c r="P330" s="97">
        <v>0.18</v>
      </c>
      <c r="S330" s="100">
        <v>44820.261970721403</v>
      </c>
      <c r="T330" s="100"/>
      <c r="U330" s="100">
        <v>0</v>
      </c>
      <c r="V330" s="100">
        <f t="shared" si="60"/>
        <v>44820.261970721403</v>
      </c>
      <c r="W330" s="100">
        <f t="shared" si="63"/>
        <v>0</v>
      </c>
      <c r="X330" s="100"/>
      <c r="Y330" s="50">
        <f t="shared" si="66"/>
        <v>0</v>
      </c>
      <c r="Z330" s="50">
        <f t="shared" si="67"/>
        <v>0</v>
      </c>
      <c r="AA330" s="104">
        <f t="shared" si="68"/>
        <v>0</v>
      </c>
      <c r="AB330" s="100">
        <f t="shared" si="64"/>
        <v>0</v>
      </c>
      <c r="AC330" s="97">
        <v>0.05</v>
      </c>
      <c r="AD330" s="100"/>
      <c r="AG330" s="97">
        <v>0.42</v>
      </c>
      <c r="AH330" s="100">
        <f t="shared" si="61"/>
        <v>0</v>
      </c>
      <c r="AI330" s="100">
        <v>0</v>
      </c>
      <c r="AJ330" s="100">
        <f t="shared" si="69"/>
        <v>0</v>
      </c>
      <c r="AK330" s="100">
        <v>0</v>
      </c>
      <c r="AL330" s="100">
        <f t="shared" ref="AL330:AL352" si="70">AI330+AJ330-AK330+U330</f>
        <v>0</v>
      </c>
      <c r="AM330" s="100">
        <f t="shared" si="65"/>
        <v>0</v>
      </c>
    </row>
    <row r="331" spans="1:39" hidden="1" x14ac:dyDescent="0.25">
      <c r="A331" s="106" t="s">
        <v>276</v>
      </c>
      <c r="B331" s="52" t="s">
        <v>71</v>
      </c>
      <c r="C331" s="52" t="s">
        <v>127</v>
      </c>
      <c r="D331" s="52" t="s">
        <v>153</v>
      </c>
      <c r="E331" s="52" t="s">
        <v>169</v>
      </c>
      <c r="F331" s="52" t="s">
        <v>170</v>
      </c>
      <c r="G331" s="52" t="s">
        <v>76</v>
      </c>
      <c r="H331" s="52" t="s">
        <v>77</v>
      </c>
      <c r="I331" s="45" t="s">
        <v>78</v>
      </c>
      <c r="J331" s="52" t="s">
        <v>78</v>
      </c>
      <c r="K331" s="52" t="s">
        <v>3</v>
      </c>
      <c r="L331" s="52" t="s">
        <v>125</v>
      </c>
      <c r="N331" s="52" t="s">
        <v>126</v>
      </c>
      <c r="O331" s="52" t="s">
        <v>94</v>
      </c>
      <c r="P331" s="97">
        <v>0.23</v>
      </c>
      <c r="S331" s="100">
        <v>132154.611549297</v>
      </c>
      <c r="T331" s="100"/>
      <c r="U331" s="100">
        <v>0</v>
      </c>
      <c r="V331" s="100">
        <f t="shared" si="60"/>
        <v>132154.611549297</v>
      </c>
      <c r="W331" s="100">
        <f t="shared" si="63"/>
        <v>0</v>
      </c>
      <c r="X331" s="100"/>
      <c r="Y331" s="50">
        <f t="shared" si="66"/>
        <v>0</v>
      </c>
      <c r="Z331" s="50">
        <f t="shared" si="67"/>
        <v>0</v>
      </c>
      <c r="AA331" s="104">
        <f t="shared" si="68"/>
        <v>0</v>
      </c>
      <c r="AB331" s="100">
        <f t="shared" si="64"/>
        <v>0</v>
      </c>
      <c r="AC331" s="97">
        <v>0.05</v>
      </c>
      <c r="AD331" s="100"/>
      <c r="AG331" s="97">
        <v>0.42</v>
      </c>
      <c r="AH331" s="100">
        <f t="shared" si="61"/>
        <v>0</v>
      </c>
      <c r="AI331" s="100">
        <v>0</v>
      </c>
      <c r="AJ331" s="100">
        <f t="shared" si="69"/>
        <v>0</v>
      </c>
      <c r="AK331" s="100">
        <v>0</v>
      </c>
      <c r="AL331" s="100">
        <f t="shared" si="70"/>
        <v>0</v>
      </c>
      <c r="AM331" s="100">
        <f t="shared" si="65"/>
        <v>0</v>
      </c>
    </row>
    <row r="332" spans="1:39" hidden="1" x14ac:dyDescent="0.25">
      <c r="A332" s="106" t="s">
        <v>276</v>
      </c>
      <c r="B332" s="52" t="s">
        <v>71</v>
      </c>
      <c r="C332" s="52" t="s">
        <v>127</v>
      </c>
      <c r="D332" s="52" t="s">
        <v>153</v>
      </c>
      <c r="E332" s="52" t="s">
        <v>171</v>
      </c>
      <c r="F332" s="52" t="s">
        <v>172</v>
      </c>
      <c r="G332" s="52" t="s">
        <v>76</v>
      </c>
      <c r="H332" s="52" t="s">
        <v>77</v>
      </c>
      <c r="I332" s="45" t="s">
        <v>78</v>
      </c>
      <c r="J332" s="52" t="s">
        <v>78</v>
      </c>
      <c r="K332" s="52" t="s">
        <v>3</v>
      </c>
      <c r="L332" s="52" t="s">
        <v>125</v>
      </c>
      <c r="N332" s="52" t="s">
        <v>126</v>
      </c>
      <c r="O332" s="52" t="s">
        <v>94</v>
      </c>
      <c r="P332" s="97">
        <v>0.03</v>
      </c>
      <c r="S332" s="100">
        <v>14157.309295774699</v>
      </c>
      <c r="T332" s="100"/>
      <c r="U332" s="100">
        <v>0</v>
      </c>
      <c r="V332" s="100">
        <f t="shared" si="60"/>
        <v>14157.309295774699</v>
      </c>
      <c r="W332" s="100">
        <f t="shared" si="63"/>
        <v>0</v>
      </c>
      <c r="X332" s="100"/>
      <c r="Y332" s="50">
        <f t="shared" si="66"/>
        <v>0</v>
      </c>
      <c r="Z332" s="50">
        <f t="shared" si="67"/>
        <v>0</v>
      </c>
      <c r="AA332" s="104">
        <f t="shared" si="68"/>
        <v>0</v>
      </c>
      <c r="AB332" s="100">
        <f t="shared" si="64"/>
        <v>0</v>
      </c>
      <c r="AC332" s="97">
        <v>0.05</v>
      </c>
      <c r="AD332" s="100"/>
      <c r="AG332" s="97">
        <v>0.42</v>
      </c>
      <c r="AH332" s="100">
        <f t="shared" si="61"/>
        <v>0</v>
      </c>
      <c r="AI332" s="100">
        <v>0</v>
      </c>
      <c r="AJ332" s="100">
        <f t="shared" si="69"/>
        <v>0</v>
      </c>
      <c r="AK332" s="100">
        <v>0</v>
      </c>
      <c r="AL332" s="100">
        <f t="shared" si="70"/>
        <v>0</v>
      </c>
      <c r="AM332" s="100">
        <f t="shared" si="65"/>
        <v>0</v>
      </c>
    </row>
    <row r="333" spans="1:39" hidden="1" x14ac:dyDescent="0.25">
      <c r="A333" s="106" t="s">
        <v>276</v>
      </c>
      <c r="B333" s="52" t="s">
        <v>71</v>
      </c>
      <c r="C333" s="52" t="s">
        <v>127</v>
      </c>
      <c r="D333" s="52" t="s">
        <v>153</v>
      </c>
      <c r="E333" s="52" t="s">
        <v>173</v>
      </c>
      <c r="F333" s="52" t="s">
        <v>174</v>
      </c>
      <c r="G333" s="52" t="s">
        <v>76</v>
      </c>
      <c r="H333" s="52" t="s">
        <v>77</v>
      </c>
      <c r="I333" s="45" t="s">
        <v>78</v>
      </c>
      <c r="J333" s="52" t="s">
        <v>78</v>
      </c>
      <c r="K333" s="52" t="s">
        <v>3</v>
      </c>
      <c r="L333" s="52" t="s">
        <v>125</v>
      </c>
      <c r="N333" s="52" t="s">
        <v>126</v>
      </c>
      <c r="O333" s="52" t="s">
        <v>94</v>
      </c>
      <c r="P333" s="97">
        <v>0.03</v>
      </c>
      <c r="S333" s="100">
        <v>480.55873239384499</v>
      </c>
      <c r="T333" s="100"/>
      <c r="U333" s="100">
        <v>0</v>
      </c>
      <c r="V333" s="100">
        <f t="shared" si="60"/>
        <v>480.55873239384499</v>
      </c>
      <c r="W333" s="100">
        <f t="shared" si="63"/>
        <v>0</v>
      </c>
      <c r="X333" s="100"/>
      <c r="Y333" s="50">
        <f t="shared" si="66"/>
        <v>0</v>
      </c>
      <c r="Z333" s="50">
        <f t="shared" si="67"/>
        <v>0</v>
      </c>
      <c r="AA333" s="104">
        <f t="shared" si="68"/>
        <v>0</v>
      </c>
      <c r="AB333" s="100">
        <f t="shared" si="64"/>
        <v>0</v>
      </c>
      <c r="AC333" s="97">
        <v>0.05</v>
      </c>
      <c r="AD333" s="100"/>
      <c r="AG333" s="97">
        <v>0.42</v>
      </c>
      <c r="AH333" s="100">
        <f t="shared" si="61"/>
        <v>0</v>
      </c>
      <c r="AI333" s="100">
        <v>0</v>
      </c>
      <c r="AJ333" s="100">
        <f t="shared" si="69"/>
        <v>0</v>
      </c>
      <c r="AK333" s="100">
        <v>0</v>
      </c>
      <c r="AL333" s="100">
        <f t="shared" si="70"/>
        <v>0</v>
      </c>
      <c r="AM333" s="100">
        <f t="shared" si="65"/>
        <v>0</v>
      </c>
    </row>
    <row r="334" spans="1:39" hidden="1" x14ac:dyDescent="0.25">
      <c r="A334" s="106" t="s">
        <v>276</v>
      </c>
      <c r="B334" s="52" t="s">
        <v>71</v>
      </c>
      <c r="C334" s="52" t="s">
        <v>127</v>
      </c>
      <c r="D334" s="52" t="s">
        <v>153</v>
      </c>
      <c r="E334" s="52" t="s">
        <v>175</v>
      </c>
      <c r="F334" s="52" t="s">
        <v>176</v>
      </c>
      <c r="G334" s="52" t="s">
        <v>76</v>
      </c>
      <c r="H334" s="52" t="s">
        <v>77</v>
      </c>
      <c r="I334" s="45" t="s">
        <v>78</v>
      </c>
      <c r="J334" s="52" t="s">
        <v>78</v>
      </c>
      <c r="K334" s="52" t="s">
        <v>3</v>
      </c>
      <c r="L334" s="52" t="s">
        <v>125</v>
      </c>
      <c r="N334" s="52" t="s">
        <v>126</v>
      </c>
      <c r="O334" s="52" t="s">
        <v>94</v>
      </c>
      <c r="P334" s="97">
        <v>0.23</v>
      </c>
      <c r="S334" s="100">
        <v>88.72</v>
      </c>
      <c r="T334" s="100"/>
      <c r="U334" s="100">
        <v>0</v>
      </c>
      <c r="V334" s="100">
        <f t="shared" si="60"/>
        <v>88.72</v>
      </c>
      <c r="W334" s="100">
        <f t="shared" si="63"/>
        <v>0</v>
      </c>
      <c r="X334" s="100"/>
      <c r="Y334" s="50">
        <f t="shared" si="66"/>
        <v>0</v>
      </c>
      <c r="Z334" s="50">
        <f t="shared" si="67"/>
        <v>0</v>
      </c>
      <c r="AA334" s="104">
        <f t="shared" si="68"/>
        <v>0</v>
      </c>
      <c r="AB334" s="100">
        <f t="shared" si="64"/>
        <v>0</v>
      </c>
      <c r="AC334" s="97">
        <v>0.05</v>
      </c>
      <c r="AD334" s="100"/>
      <c r="AG334" s="97">
        <v>0.42</v>
      </c>
      <c r="AH334" s="100">
        <f t="shared" si="61"/>
        <v>0</v>
      </c>
      <c r="AI334" s="100">
        <v>0</v>
      </c>
      <c r="AJ334" s="100">
        <f t="shared" si="69"/>
        <v>0</v>
      </c>
      <c r="AK334" s="100">
        <v>0</v>
      </c>
      <c r="AL334" s="100">
        <f t="shared" si="70"/>
        <v>0</v>
      </c>
      <c r="AM334" s="100">
        <f t="shared" si="65"/>
        <v>0</v>
      </c>
    </row>
    <row r="335" spans="1:39" hidden="1" x14ac:dyDescent="0.25">
      <c r="A335" s="106" t="s">
        <v>276</v>
      </c>
      <c r="B335" s="52" t="s">
        <v>71</v>
      </c>
      <c r="C335" s="52" t="s">
        <v>127</v>
      </c>
      <c r="D335" s="52" t="s">
        <v>153</v>
      </c>
      <c r="E335" s="52" t="s">
        <v>177</v>
      </c>
      <c r="F335" s="52" t="s">
        <v>178</v>
      </c>
      <c r="G335" s="52" t="s">
        <v>76</v>
      </c>
      <c r="H335" s="52" t="s">
        <v>77</v>
      </c>
      <c r="I335" s="45" t="s">
        <v>78</v>
      </c>
      <c r="J335" s="52" t="s">
        <v>78</v>
      </c>
      <c r="K335" s="52" t="s">
        <v>3</v>
      </c>
      <c r="L335" s="52" t="s">
        <v>125</v>
      </c>
      <c r="N335" s="52" t="s">
        <v>126</v>
      </c>
      <c r="O335" s="52" t="s">
        <v>94</v>
      </c>
      <c r="P335" s="97">
        <v>0.18</v>
      </c>
      <c r="S335" s="100">
        <v>147.29985915508601</v>
      </c>
      <c r="T335" s="100"/>
      <c r="U335" s="100">
        <v>0</v>
      </c>
      <c r="V335" s="100">
        <f t="shared" si="60"/>
        <v>147.29985915508601</v>
      </c>
      <c r="W335" s="100">
        <f t="shared" ref="W335:W352" si="71">IF(O335="返现",U335,U335*(1+AG335)/(1+P335+AG335))</f>
        <v>0</v>
      </c>
      <c r="X335" s="100"/>
      <c r="Y335" s="50">
        <f t="shared" si="66"/>
        <v>0</v>
      </c>
      <c r="Z335" s="50">
        <f t="shared" si="67"/>
        <v>0</v>
      </c>
      <c r="AA335" s="104">
        <f t="shared" si="68"/>
        <v>0</v>
      </c>
      <c r="AB335" s="100">
        <f t="shared" ref="AB335:AB352" si="72">U335</f>
        <v>0</v>
      </c>
      <c r="AC335" s="97">
        <v>0.05</v>
      </c>
      <c r="AD335" s="100"/>
      <c r="AG335" s="97">
        <v>0.42</v>
      </c>
      <c r="AH335" s="100">
        <f t="shared" si="61"/>
        <v>0</v>
      </c>
      <c r="AI335" s="100">
        <v>0</v>
      </c>
      <c r="AJ335" s="100">
        <f t="shared" si="69"/>
        <v>0</v>
      </c>
      <c r="AK335" s="100">
        <v>0</v>
      </c>
      <c r="AL335" s="100">
        <f t="shared" si="70"/>
        <v>0</v>
      </c>
      <c r="AM335" s="100">
        <f t="shared" ref="AM335:AM352" si="73">IF(O335="返现",AK335/(1+AG335),AK335/(1+P335+AG335))</f>
        <v>0</v>
      </c>
    </row>
    <row r="336" spans="1:39" hidden="1" x14ac:dyDescent="0.25">
      <c r="A336" s="106" t="s">
        <v>276</v>
      </c>
      <c r="B336" s="52" t="s">
        <v>71</v>
      </c>
      <c r="C336" s="52" t="s">
        <v>127</v>
      </c>
      <c r="D336" s="52" t="s">
        <v>153</v>
      </c>
      <c r="E336" s="52" t="s">
        <v>179</v>
      </c>
      <c r="F336" s="52" t="s">
        <v>180</v>
      </c>
      <c r="G336" s="52" t="s">
        <v>76</v>
      </c>
      <c r="H336" s="52" t="s">
        <v>77</v>
      </c>
      <c r="I336" s="45" t="s">
        <v>78</v>
      </c>
      <c r="J336" s="52" t="s">
        <v>78</v>
      </c>
      <c r="K336" s="52" t="s">
        <v>3</v>
      </c>
      <c r="L336" s="52" t="s">
        <v>125</v>
      </c>
      <c r="N336" s="52" t="s">
        <v>126</v>
      </c>
      <c r="O336" s="52" t="s">
        <v>94</v>
      </c>
      <c r="P336" s="97">
        <v>0.18</v>
      </c>
      <c r="S336" s="100">
        <v>4215.2245070423196</v>
      </c>
      <c r="T336" s="100"/>
      <c r="U336" s="100">
        <v>0</v>
      </c>
      <c r="V336" s="100">
        <f t="shared" si="60"/>
        <v>4215.2245070423196</v>
      </c>
      <c r="W336" s="100">
        <f t="shared" si="71"/>
        <v>0</v>
      </c>
      <c r="X336" s="100"/>
      <c r="Y336" s="50">
        <f t="shared" si="66"/>
        <v>0</v>
      </c>
      <c r="Z336" s="50">
        <f t="shared" si="67"/>
        <v>0</v>
      </c>
      <c r="AA336" s="104">
        <f t="shared" si="68"/>
        <v>0</v>
      </c>
      <c r="AB336" s="100">
        <f t="shared" si="72"/>
        <v>0</v>
      </c>
      <c r="AC336" s="97">
        <v>0.05</v>
      </c>
      <c r="AD336" s="100"/>
      <c r="AG336" s="97">
        <v>0.42</v>
      </c>
      <c r="AH336" s="100">
        <f t="shared" si="61"/>
        <v>0</v>
      </c>
      <c r="AI336" s="100">
        <v>0</v>
      </c>
      <c r="AJ336" s="100">
        <f t="shared" si="69"/>
        <v>0</v>
      </c>
      <c r="AK336" s="100">
        <v>0</v>
      </c>
      <c r="AL336" s="100">
        <f t="shared" si="70"/>
        <v>0</v>
      </c>
      <c r="AM336" s="100">
        <f t="shared" si="73"/>
        <v>0</v>
      </c>
    </row>
    <row r="337" spans="1:40" hidden="1" x14ac:dyDescent="0.25">
      <c r="A337" s="106" t="s">
        <v>276</v>
      </c>
      <c r="B337" s="52" t="s">
        <v>71</v>
      </c>
      <c r="C337" s="52" t="s">
        <v>127</v>
      </c>
      <c r="D337" s="52" t="s">
        <v>153</v>
      </c>
      <c r="E337" s="52" t="s">
        <v>181</v>
      </c>
      <c r="F337" s="52" t="s">
        <v>182</v>
      </c>
      <c r="G337" s="52" t="s">
        <v>76</v>
      </c>
      <c r="H337" s="52" t="s">
        <v>77</v>
      </c>
      <c r="I337" s="45" t="s">
        <v>78</v>
      </c>
      <c r="J337" s="52" t="s">
        <v>78</v>
      </c>
      <c r="K337" s="52" t="s">
        <v>3</v>
      </c>
      <c r="L337" s="52" t="s">
        <v>125</v>
      </c>
      <c r="N337" s="52" t="s">
        <v>126</v>
      </c>
      <c r="O337" s="52" t="s">
        <v>94</v>
      </c>
      <c r="P337" s="97">
        <v>0.23</v>
      </c>
      <c r="S337" s="100">
        <v>127.3395774647</v>
      </c>
      <c r="T337" s="100"/>
      <c r="U337" s="100">
        <v>0</v>
      </c>
      <c r="V337" s="100">
        <f t="shared" si="60"/>
        <v>127.3395774647</v>
      </c>
      <c r="W337" s="100">
        <f t="shared" si="71"/>
        <v>0</v>
      </c>
      <c r="X337" s="100"/>
      <c r="Y337" s="50">
        <f t="shared" si="66"/>
        <v>0</v>
      </c>
      <c r="Z337" s="50">
        <f t="shared" si="67"/>
        <v>0</v>
      </c>
      <c r="AA337" s="104">
        <f t="shared" si="68"/>
        <v>0</v>
      </c>
      <c r="AB337" s="100">
        <f t="shared" si="72"/>
        <v>0</v>
      </c>
      <c r="AC337" s="97">
        <v>0.05</v>
      </c>
      <c r="AD337" s="100"/>
      <c r="AG337" s="97">
        <v>0.42</v>
      </c>
      <c r="AH337" s="100">
        <f t="shared" si="61"/>
        <v>0</v>
      </c>
      <c r="AI337" s="100">
        <v>0</v>
      </c>
      <c r="AJ337" s="100">
        <f t="shared" si="69"/>
        <v>0</v>
      </c>
      <c r="AK337" s="100">
        <v>0</v>
      </c>
      <c r="AL337" s="100">
        <f t="shared" si="70"/>
        <v>0</v>
      </c>
      <c r="AM337" s="100">
        <f t="shared" si="73"/>
        <v>0</v>
      </c>
    </row>
    <row r="338" spans="1:40" hidden="1" x14ac:dyDescent="0.25">
      <c r="A338" s="106" t="s">
        <v>276</v>
      </c>
      <c r="B338" s="52" t="s">
        <v>71</v>
      </c>
      <c r="C338" s="52" t="s">
        <v>127</v>
      </c>
      <c r="D338" s="52" t="s">
        <v>153</v>
      </c>
      <c r="E338" s="52" t="s">
        <v>183</v>
      </c>
      <c r="F338" s="52" t="s">
        <v>184</v>
      </c>
      <c r="G338" s="52" t="s">
        <v>76</v>
      </c>
      <c r="H338" s="52" t="s">
        <v>77</v>
      </c>
      <c r="I338" s="45" t="s">
        <v>78</v>
      </c>
      <c r="J338" s="52" t="s">
        <v>78</v>
      </c>
      <c r="K338" s="52" t="s">
        <v>3</v>
      </c>
      <c r="L338" s="52" t="s">
        <v>125</v>
      </c>
      <c r="N338" s="52" t="s">
        <v>126</v>
      </c>
      <c r="O338" s="52" t="s">
        <v>94</v>
      </c>
      <c r="P338" s="97">
        <v>0.23</v>
      </c>
      <c r="S338" s="100">
        <v>172.66352112698999</v>
      </c>
      <c r="T338" s="100"/>
      <c r="U338" s="100">
        <v>0</v>
      </c>
      <c r="V338" s="100">
        <f t="shared" si="60"/>
        <v>172.66352112698999</v>
      </c>
      <c r="W338" s="100">
        <f t="shared" si="71"/>
        <v>0</v>
      </c>
      <c r="X338" s="100"/>
      <c r="Y338" s="50">
        <f t="shared" si="66"/>
        <v>0</v>
      </c>
      <c r="Z338" s="50">
        <f t="shared" si="67"/>
        <v>0</v>
      </c>
      <c r="AA338" s="104">
        <f t="shared" si="68"/>
        <v>0</v>
      </c>
      <c r="AB338" s="100">
        <f t="shared" si="72"/>
        <v>0</v>
      </c>
      <c r="AC338" s="97">
        <v>0.05</v>
      </c>
      <c r="AD338" s="100"/>
      <c r="AG338" s="97">
        <v>0.42</v>
      </c>
      <c r="AH338" s="100">
        <f t="shared" si="61"/>
        <v>0</v>
      </c>
      <c r="AI338" s="100">
        <v>0</v>
      </c>
      <c r="AJ338" s="100">
        <f t="shared" si="69"/>
        <v>0</v>
      </c>
      <c r="AK338" s="100">
        <v>0</v>
      </c>
      <c r="AL338" s="100">
        <f t="shared" si="70"/>
        <v>0</v>
      </c>
      <c r="AM338" s="100">
        <f t="shared" si="73"/>
        <v>0</v>
      </c>
    </row>
    <row r="339" spans="1:40" hidden="1" x14ac:dyDescent="0.25">
      <c r="A339" s="106" t="s">
        <v>276</v>
      </c>
      <c r="B339" s="52" t="s">
        <v>71</v>
      </c>
      <c r="C339" s="52" t="s">
        <v>127</v>
      </c>
      <c r="D339" s="52" t="s">
        <v>153</v>
      </c>
      <c r="E339" s="52" t="s">
        <v>185</v>
      </c>
      <c r="F339" s="52" t="s">
        <v>186</v>
      </c>
      <c r="G339" s="52" t="s">
        <v>76</v>
      </c>
      <c r="H339" s="52" t="s">
        <v>77</v>
      </c>
      <c r="I339" s="45" t="s">
        <v>78</v>
      </c>
      <c r="J339" s="52" t="s">
        <v>78</v>
      </c>
      <c r="K339" s="52" t="s">
        <v>3</v>
      </c>
      <c r="L339" s="52" t="s">
        <v>125</v>
      </c>
      <c r="N339" s="52" t="s">
        <v>126</v>
      </c>
      <c r="O339" s="52" t="s">
        <v>94</v>
      </c>
      <c r="P339" s="97">
        <v>0.08</v>
      </c>
      <c r="S339" s="100">
        <v>11055.15</v>
      </c>
      <c r="T339" s="100"/>
      <c r="U339" s="100">
        <v>0</v>
      </c>
      <c r="V339" s="100">
        <f t="shared" si="60"/>
        <v>11055.15</v>
      </c>
      <c r="W339" s="100">
        <f t="shared" si="71"/>
        <v>0</v>
      </c>
      <c r="X339" s="100"/>
      <c r="Y339" s="50">
        <f t="shared" si="66"/>
        <v>0</v>
      </c>
      <c r="Z339" s="50">
        <f t="shared" si="67"/>
        <v>0</v>
      </c>
      <c r="AA339" s="104">
        <f t="shared" si="68"/>
        <v>0</v>
      </c>
      <c r="AB339" s="100">
        <f t="shared" si="72"/>
        <v>0</v>
      </c>
      <c r="AC339" s="97">
        <v>0.05</v>
      </c>
      <c r="AD339" s="100"/>
      <c r="AG339" s="97">
        <v>0.42</v>
      </c>
      <c r="AH339" s="100">
        <f t="shared" si="61"/>
        <v>0</v>
      </c>
      <c r="AI339" s="100">
        <v>0</v>
      </c>
      <c r="AJ339" s="100">
        <f t="shared" si="69"/>
        <v>0</v>
      </c>
      <c r="AK339" s="100">
        <v>0</v>
      </c>
      <c r="AL339" s="100">
        <f t="shared" si="70"/>
        <v>0</v>
      </c>
      <c r="AM339" s="100">
        <f t="shared" si="73"/>
        <v>0</v>
      </c>
    </row>
    <row r="340" spans="1:40" hidden="1" x14ac:dyDescent="0.25">
      <c r="A340" s="106" t="s">
        <v>276</v>
      </c>
      <c r="B340" s="52" t="s">
        <v>3</v>
      </c>
      <c r="C340" s="52" t="s">
        <v>100</v>
      </c>
      <c r="D340" s="52" t="s">
        <v>101</v>
      </c>
      <c r="E340" s="52" t="s">
        <v>121</v>
      </c>
      <c r="F340" s="52" t="s">
        <v>121</v>
      </c>
      <c r="G340" s="52" t="s">
        <v>121</v>
      </c>
      <c r="H340" s="52" t="s">
        <v>77</v>
      </c>
      <c r="I340" s="45" t="s">
        <v>78</v>
      </c>
      <c r="J340" s="52" t="s">
        <v>78</v>
      </c>
      <c r="K340" s="52" t="s">
        <v>3</v>
      </c>
      <c r="L340" s="52" t="s">
        <v>121</v>
      </c>
      <c r="N340" s="52" t="s">
        <v>86</v>
      </c>
      <c r="O340" s="52" t="s">
        <v>94</v>
      </c>
      <c r="P340" s="97">
        <v>5.5E-2</v>
      </c>
      <c r="S340" s="100">
        <v>151918.79</v>
      </c>
      <c r="T340" s="100"/>
      <c r="U340" s="100">
        <v>8739.8799999999992</v>
      </c>
      <c r="V340" s="100">
        <f t="shared" si="60"/>
        <v>143178.91</v>
      </c>
      <c r="W340" s="100">
        <f t="shared" si="71"/>
        <v>8337.6261087866114</v>
      </c>
      <c r="X340" s="100"/>
      <c r="Y340" s="50">
        <f t="shared" si="66"/>
        <v>0</v>
      </c>
      <c r="Z340" s="50">
        <f t="shared" si="67"/>
        <v>8337.6485355648547</v>
      </c>
      <c r="AA340" s="104">
        <f t="shared" si="68"/>
        <v>402.25389121338776</v>
      </c>
      <c r="AB340" s="100">
        <f t="shared" si="72"/>
        <v>8739.8799999999992</v>
      </c>
      <c r="AC340" s="97">
        <v>0.05</v>
      </c>
      <c r="AD340" s="100"/>
      <c r="AG340" s="97">
        <v>0.14000000000000001</v>
      </c>
      <c r="AH340" s="100">
        <f t="shared" si="61"/>
        <v>8739.9035087719294</v>
      </c>
      <c r="AI340" s="100">
        <v>1101.5899999999999</v>
      </c>
      <c r="AJ340" s="100">
        <f t="shared" si="69"/>
        <v>0</v>
      </c>
      <c r="AK340" s="100">
        <v>9963.49</v>
      </c>
      <c r="AL340" s="100">
        <f t="shared" si="70"/>
        <v>-122.02000000000044</v>
      </c>
      <c r="AM340" s="100">
        <f t="shared" si="73"/>
        <v>8337.6485355648547</v>
      </c>
      <c r="AN340" s="99">
        <f>AM340-W340</f>
        <v>2.2426778243243461E-2</v>
      </c>
    </row>
    <row r="341" spans="1:40" hidden="1" x14ac:dyDescent="0.25">
      <c r="A341" s="106" t="s">
        <v>276</v>
      </c>
      <c r="B341" s="52" t="s">
        <v>3</v>
      </c>
      <c r="C341" s="52" t="s">
        <v>90</v>
      </c>
      <c r="D341" s="52" t="s">
        <v>114</v>
      </c>
      <c r="E341" s="52" t="s">
        <v>115</v>
      </c>
      <c r="F341" s="52" t="s">
        <v>115</v>
      </c>
      <c r="G341" s="52" t="s">
        <v>115</v>
      </c>
      <c r="H341" s="52" t="s">
        <v>77</v>
      </c>
      <c r="I341" s="45" t="s">
        <v>78</v>
      </c>
      <c r="J341" s="52" t="s">
        <v>78</v>
      </c>
      <c r="K341" s="52" t="s">
        <v>3</v>
      </c>
      <c r="L341" s="52" t="s">
        <v>116</v>
      </c>
      <c r="N341" s="52" t="s">
        <v>86</v>
      </c>
      <c r="O341" s="52" t="s">
        <v>94</v>
      </c>
      <c r="P341" s="46">
        <v>-0.15</v>
      </c>
      <c r="S341" s="100">
        <v>205.52</v>
      </c>
      <c r="T341" s="100"/>
      <c r="U341" s="100">
        <v>0</v>
      </c>
      <c r="V341" s="100">
        <f t="shared" si="60"/>
        <v>205.52</v>
      </c>
      <c r="W341" s="100">
        <f t="shared" si="71"/>
        <v>0</v>
      </c>
      <c r="X341" s="100"/>
      <c r="Y341" s="50">
        <f t="shared" si="66"/>
        <v>0</v>
      </c>
      <c r="Z341" s="50">
        <f t="shared" si="67"/>
        <v>0</v>
      </c>
      <c r="AA341" s="104">
        <f t="shared" si="68"/>
        <v>0</v>
      </c>
      <c r="AB341" s="100">
        <f t="shared" si="72"/>
        <v>0</v>
      </c>
      <c r="AC341" s="97">
        <v>0.05</v>
      </c>
      <c r="AD341" s="100"/>
      <c r="AG341" s="46">
        <v>0.26</v>
      </c>
      <c r="AH341" s="100">
        <f t="shared" si="61"/>
        <v>0</v>
      </c>
      <c r="AI341" s="100">
        <v>0</v>
      </c>
      <c r="AJ341" s="100">
        <f t="shared" si="69"/>
        <v>0</v>
      </c>
      <c r="AK341" s="100">
        <v>0</v>
      </c>
      <c r="AL341" s="100">
        <f t="shared" si="70"/>
        <v>0</v>
      </c>
      <c r="AM341" s="100">
        <f t="shared" si="73"/>
        <v>0</v>
      </c>
    </row>
    <row r="342" spans="1:40" hidden="1" x14ac:dyDescent="0.25">
      <c r="A342" s="106" t="s">
        <v>276</v>
      </c>
      <c r="B342" s="52" t="s">
        <v>3</v>
      </c>
      <c r="C342" s="52" t="s">
        <v>72</v>
      </c>
      <c r="D342" s="52" t="s">
        <v>187</v>
      </c>
      <c r="E342" s="52" t="s">
        <v>188</v>
      </c>
      <c r="F342" s="52" t="s">
        <v>188</v>
      </c>
      <c r="G342" s="52" t="s">
        <v>188</v>
      </c>
      <c r="H342" s="52" t="s">
        <v>77</v>
      </c>
      <c r="I342" s="45" t="s">
        <v>78</v>
      </c>
      <c r="J342" s="52" t="s">
        <v>78</v>
      </c>
      <c r="K342" s="52" t="s">
        <v>3</v>
      </c>
      <c r="L342" s="52" t="s">
        <v>188</v>
      </c>
      <c r="N342" s="52" t="s">
        <v>126</v>
      </c>
      <c r="O342" s="52" t="s">
        <v>94</v>
      </c>
      <c r="P342" s="97">
        <v>0.05</v>
      </c>
      <c r="S342" s="100">
        <v>15503.97</v>
      </c>
      <c r="T342" s="100"/>
      <c r="U342" s="100">
        <v>0</v>
      </c>
      <c r="V342" s="100">
        <f t="shared" si="60"/>
        <v>15503.97</v>
      </c>
      <c r="W342" s="100">
        <f t="shared" si="71"/>
        <v>0</v>
      </c>
      <c r="X342" s="100"/>
      <c r="Y342" s="50">
        <f t="shared" si="66"/>
        <v>0</v>
      </c>
      <c r="Z342" s="50">
        <f t="shared" si="67"/>
        <v>0</v>
      </c>
      <c r="AA342" s="104">
        <f t="shared" si="68"/>
        <v>0</v>
      </c>
      <c r="AB342" s="100">
        <f t="shared" si="72"/>
        <v>0</v>
      </c>
      <c r="AC342" s="97">
        <v>0.05</v>
      </c>
      <c r="AD342" s="100"/>
      <c r="AG342" s="97">
        <v>0.36</v>
      </c>
      <c r="AH342" s="100">
        <f t="shared" si="61"/>
        <v>0</v>
      </c>
      <c r="AI342" s="100">
        <v>0</v>
      </c>
      <c r="AJ342" s="100">
        <f t="shared" si="69"/>
        <v>0</v>
      </c>
      <c r="AK342" s="100">
        <v>0</v>
      </c>
      <c r="AL342" s="100">
        <f t="shared" si="70"/>
        <v>0</v>
      </c>
      <c r="AM342" s="100">
        <f t="shared" si="73"/>
        <v>0</v>
      </c>
    </row>
    <row r="343" spans="1:40" hidden="1" x14ac:dyDescent="0.25">
      <c r="A343" s="106" t="s">
        <v>276</v>
      </c>
      <c r="B343" s="52" t="s">
        <v>3</v>
      </c>
      <c r="C343" s="52" t="s">
        <v>82</v>
      </c>
      <c r="D343" s="52" t="s">
        <v>83</v>
      </c>
      <c r="E343" s="52" t="s">
        <v>88</v>
      </c>
      <c r="F343" s="52" t="s">
        <v>88</v>
      </c>
      <c r="G343" s="52" t="s">
        <v>88</v>
      </c>
      <c r="H343" s="52" t="s">
        <v>77</v>
      </c>
      <c r="I343" s="45" t="s">
        <v>78</v>
      </c>
      <c r="J343" s="52" t="s">
        <v>78</v>
      </c>
      <c r="K343" s="52" t="s">
        <v>3</v>
      </c>
      <c r="L343" s="52" t="s">
        <v>88</v>
      </c>
      <c r="N343" s="52" t="s">
        <v>86</v>
      </c>
      <c r="O343" s="52" t="s">
        <v>94</v>
      </c>
      <c r="P343" s="97">
        <v>0.01</v>
      </c>
      <c r="S343" s="100">
        <v>2302.4499999960499</v>
      </c>
      <c r="T343" s="100"/>
      <c r="U343" s="100">
        <v>2302.4499999960499</v>
      </c>
      <c r="V343" s="100">
        <f t="shared" si="60"/>
        <v>0</v>
      </c>
      <c r="W343" s="100">
        <f t="shared" si="71"/>
        <v>2285.1383458607411</v>
      </c>
      <c r="X343" s="100"/>
      <c r="Y343" s="50">
        <f t="shared" si="66"/>
        <v>0</v>
      </c>
      <c r="Z343" s="50">
        <f t="shared" si="67"/>
        <v>7570.5112781970674</v>
      </c>
      <c r="AA343" s="104">
        <f t="shared" si="68"/>
        <v>17.3116541353088</v>
      </c>
      <c r="AB343" s="100">
        <f t="shared" si="72"/>
        <v>2302.4499999960499</v>
      </c>
      <c r="AC343" s="97">
        <v>0.05</v>
      </c>
      <c r="AD343" s="100"/>
      <c r="AG343" s="97">
        <v>0.32</v>
      </c>
      <c r="AH343" s="100">
        <f t="shared" si="61"/>
        <v>7627.8636363652267</v>
      </c>
      <c r="AI343" s="100">
        <v>7766.3300000060099</v>
      </c>
      <c r="AJ343" s="100">
        <f t="shared" si="69"/>
        <v>0</v>
      </c>
      <c r="AK343" s="100">
        <v>10068.7800000021</v>
      </c>
      <c r="AL343" s="100">
        <f t="shared" si="70"/>
        <v>-4.0017766878008842E-11</v>
      </c>
      <c r="AM343" s="100">
        <f t="shared" si="73"/>
        <v>7570.5112781970674</v>
      </c>
      <c r="AN343" s="99">
        <f>AM343-W343</f>
        <v>5285.3729323363259</v>
      </c>
    </row>
    <row r="344" spans="1:40" hidden="1" x14ac:dyDescent="0.25">
      <c r="A344" s="106" t="s">
        <v>276</v>
      </c>
      <c r="B344" s="52" t="s">
        <v>3</v>
      </c>
      <c r="C344" s="52" t="s">
        <v>95</v>
      </c>
      <c r="D344" s="52" t="s">
        <v>96</v>
      </c>
      <c r="E344" s="52" t="s">
        <v>99</v>
      </c>
      <c r="F344" s="52" t="s">
        <v>99</v>
      </c>
      <c r="G344" s="52" t="s">
        <v>99</v>
      </c>
      <c r="H344" s="52" t="s">
        <v>77</v>
      </c>
      <c r="I344" s="45" t="s">
        <v>78</v>
      </c>
      <c r="J344" s="52" t="s">
        <v>78</v>
      </c>
      <c r="K344" s="52" t="s">
        <v>3</v>
      </c>
      <c r="L344" s="52" t="s">
        <v>98</v>
      </c>
      <c r="N344" s="52" t="s">
        <v>86</v>
      </c>
      <c r="O344" s="52" t="s">
        <v>94</v>
      </c>
      <c r="P344" s="97">
        <v>0.03</v>
      </c>
      <c r="S344" s="100">
        <v>5696.55</v>
      </c>
      <c r="T344" s="100"/>
      <c r="U344" s="100">
        <v>0</v>
      </c>
      <c r="V344" s="100">
        <f t="shared" si="60"/>
        <v>5696.55</v>
      </c>
      <c r="W344" s="100">
        <f t="shared" si="71"/>
        <v>0</v>
      </c>
      <c r="X344" s="100"/>
      <c r="Y344" s="50">
        <f t="shared" si="66"/>
        <v>0</v>
      </c>
      <c r="Z344" s="50">
        <f t="shared" si="67"/>
        <v>0</v>
      </c>
      <c r="AA344" s="104">
        <f t="shared" si="68"/>
        <v>0</v>
      </c>
      <c r="AB344" s="100">
        <f t="shared" si="72"/>
        <v>0</v>
      </c>
      <c r="AC344" s="97">
        <v>0.05</v>
      </c>
      <c r="AD344" s="100"/>
      <c r="AG344" s="97">
        <v>0</v>
      </c>
      <c r="AH344" s="100">
        <f t="shared" si="61"/>
        <v>0</v>
      </c>
      <c r="AI344" s="100">
        <v>0</v>
      </c>
      <c r="AJ344" s="100">
        <f t="shared" si="69"/>
        <v>0</v>
      </c>
      <c r="AK344" s="100">
        <v>0</v>
      </c>
      <c r="AL344" s="100">
        <f t="shared" si="70"/>
        <v>0</v>
      </c>
      <c r="AM344" s="100">
        <f t="shared" si="73"/>
        <v>0</v>
      </c>
    </row>
    <row r="345" spans="1:40" hidden="1" x14ac:dyDescent="0.25">
      <c r="A345" s="106" t="s">
        <v>276</v>
      </c>
      <c r="B345" s="52" t="s">
        <v>3</v>
      </c>
      <c r="C345" s="52" t="s">
        <v>95</v>
      </c>
      <c r="D345" s="52" t="s">
        <v>96</v>
      </c>
      <c r="E345" s="52" t="s">
        <v>191</v>
      </c>
      <c r="F345" s="52" t="s">
        <v>191</v>
      </c>
      <c r="G345" s="52" t="s">
        <v>191</v>
      </c>
      <c r="H345" s="52" t="s">
        <v>77</v>
      </c>
      <c r="I345" s="45" t="s">
        <v>78</v>
      </c>
      <c r="J345" s="52" t="s">
        <v>78</v>
      </c>
      <c r="K345" s="52" t="s">
        <v>3</v>
      </c>
      <c r="L345" s="52" t="s">
        <v>192</v>
      </c>
      <c r="N345" s="52" t="s">
        <v>86</v>
      </c>
      <c r="O345" s="52" t="s">
        <v>81</v>
      </c>
      <c r="P345" s="97">
        <v>0</v>
      </c>
      <c r="S345" s="100">
        <v>6379.42</v>
      </c>
      <c r="T345" s="100"/>
      <c r="U345" s="100">
        <v>0</v>
      </c>
      <c r="V345" s="100">
        <f t="shared" si="60"/>
        <v>6379.42</v>
      </c>
      <c r="W345" s="100">
        <f t="shared" si="71"/>
        <v>0</v>
      </c>
      <c r="X345" s="100"/>
      <c r="Y345" s="50">
        <f t="shared" si="66"/>
        <v>0</v>
      </c>
      <c r="Z345" s="50">
        <f t="shared" si="67"/>
        <v>0</v>
      </c>
      <c r="AA345" s="104">
        <f t="shared" si="68"/>
        <v>0</v>
      </c>
      <c r="AB345" s="100">
        <f t="shared" si="72"/>
        <v>0</v>
      </c>
      <c r="AC345" s="97">
        <v>0.05</v>
      </c>
      <c r="AD345" s="100"/>
      <c r="AG345" s="97">
        <v>0.11</v>
      </c>
      <c r="AH345" s="100">
        <f t="shared" si="61"/>
        <v>0</v>
      </c>
      <c r="AI345" s="100">
        <v>0</v>
      </c>
      <c r="AJ345" s="100">
        <f t="shared" si="69"/>
        <v>0</v>
      </c>
      <c r="AK345" s="100">
        <v>0</v>
      </c>
      <c r="AL345" s="100">
        <f t="shared" si="70"/>
        <v>0</v>
      </c>
      <c r="AM345" s="100">
        <f t="shared" si="73"/>
        <v>0</v>
      </c>
    </row>
    <row r="346" spans="1:40" hidden="1" x14ac:dyDescent="0.25">
      <c r="A346" s="106" t="s">
        <v>276</v>
      </c>
      <c r="B346" s="52" t="s">
        <v>3</v>
      </c>
      <c r="C346" s="52" t="s">
        <v>81</v>
      </c>
      <c r="D346" s="52" t="s">
        <v>81</v>
      </c>
      <c r="E346" s="52" t="s">
        <v>108</v>
      </c>
      <c r="F346" s="52" t="s">
        <v>108</v>
      </c>
      <c r="G346" s="52" t="s">
        <v>108</v>
      </c>
      <c r="H346" s="52" t="s">
        <v>77</v>
      </c>
      <c r="I346" s="45" t="s">
        <v>78</v>
      </c>
      <c r="J346" s="52" t="s">
        <v>78</v>
      </c>
      <c r="K346" s="52" t="s">
        <v>3</v>
      </c>
      <c r="L346" s="52" t="s">
        <v>108</v>
      </c>
      <c r="N346" s="52" t="s">
        <v>86</v>
      </c>
      <c r="O346" s="52" t="s">
        <v>81</v>
      </c>
      <c r="P346" s="97">
        <v>0</v>
      </c>
      <c r="S346" s="100">
        <v>16513.650000000001</v>
      </c>
      <c r="T346" s="100"/>
      <c r="U346" s="100">
        <v>28.33</v>
      </c>
      <c r="V346" s="100">
        <f t="shared" si="60"/>
        <v>16485.32</v>
      </c>
      <c r="W346" s="100">
        <f t="shared" si="71"/>
        <v>28.329999999999995</v>
      </c>
      <c r="X346" s="100"/>
      <c r="Y346" s="50">
        <f t="shared" si="66"/>
        <v>0</v>
      </c>
      <c r="Z346" s="50">
        <f t="shared" si="67"/>
        <v>19.950704225352112</v>
      </c>
      <c r="AA346" s="104">
        <f t="shared" si="68"/>
        <v>3.5527136788005009E-15</v>
      </c>
      <c r="AB346" s="100">
        <f t="shared" si="72"/>
        <v>28.33</v>
      </c>
      <c r="AC346" s="97">
        <v>0.05</v>
      </c>
      <c r="AD346" s="100"/>
      <c r="AG346" s="97">
        <v>0.42</v>
      </c>
      <c r="AH346" s="100">
        <f t="shared" si="61"/>
        <v>19.950704225352112</v>
      </c>
      <c r="AI346" s="100">
        <v>0</v>
      </c>
      <c r="AJ346" s="100">
        <f t="shared" si="69"/>
        <v>0</v>
      </c>
      <c r="AK346" s="100">
        <v>28.33</v>
      </c>
      <c r="AL346" s="100">
        <f t="shared" si="70"/>
        <v>0</v>
      </c>
      <c r="AM346" s="100">
        <f t="shared" si="73"/>
        <v>19.950704225352112</v>
      </c>
      <c r="AN346" s="99">
        <f>AM346-W346</f>
        <v>-8.3792957746478827</v>
      </c>
    </row>
    <row r="347" spans="1:40" hidden="1" x14ac:dyDescent="0.25">
      <c r="A347" s="106" t="s">
        <v>276</v>
      </c>
      <c r="B347" s="52" t="s">
        <v>3</v>
      </c>
      <c r="C347" s="52" t="s">
        <v>193</v>
      </c>
      <c r="D347" s="52" t="s">
        <v>194</v>
      </c>
      <c r="E347" s="52" t="s">
        <v>261</v>
      </c>
      <c r="F347" s="52" t="s">
        <v>262</v>
      </c>
      <c r="G347" s="52" t="s">
        <v>261</v>
      </c>
      <c r="H347" s="52" t="s">
        <v>77</v>
      </c>
      <c r="I347" s="45" t="s">
        <v>78</v>
      </c>
      <c r="J347" s="52" t="s">
        <v>78</v>
      </c>
      <c r="K347" s="52" t="s">
        <v>3</v>
      </c>
      <c r="L347" s="52" t="s">
        <v>263</v>
      </c>
      <c r="N347" s="52" t="s">
        <v>86</v>
      </c>
      <c r="O347" s="52" t="s">
        <v>81</v>
      </c>
      <c r="P347" s="97">
        <v>0</v>
      </c>
      <c r="S347" s="100">
        <v>-25.54</v>
      </c>
      <c r="T347" s="100"/>
      <c r="U347" s="100">
        <v>0</v>
      </c>
      <c r="V347" s="100">
        <f t="shared" si="60"/>
        <v>-25.54</v>
      </c>
      <c r="W347" s="100">
        <f t="shared" si="71"/>
        <v>0</v>
      </c>
      <c r="X347" s="100"/>
      <c r="Y347" s="50">
        <f t="shared" si="66"/>
        <v>0</v>
      </c>
      <c r="Z347" s="50">
        <f t="shared" si="67"/>
        <v>0</v>
      </c>
      <c r="AA347" s="104">
        <f t="shared" si="68"/>
        <v>0</v>
      </c>
      <c r="AB347" s="100">
        <f t="shared" si="72"/>
        <v>0</v>
      </c>
      <c r="AC347" s="97">
        <v>0.05</v>
      </c>
      <c r="AD347" s="100"/>
      <c r="AG347" s="97">
        <v>0</v>
      </c>
      <c r="AH347" s="100">
        <f t="shared" si="61"/>
        <v>0</v>
      </c>
      <c r="AI347" s="100">
        <v>45.03</v>
      </c>
      <c r="AJ347" s="100">
        <f t="shared" si="69"/>
        <v>0</v>
      </c>
      <c r="AK347" s="100">
        <v>0</v>
      </c>
      <c r="AL347" s="100">
        <f t="shared" si="70"/>
        <v>45.03</v>
      </c>
      <c r="AM347" s="100">
        <f t="shared" si="73"/>
        <v>0</v>
      </c>
    </row>
    <row r="348" spans="1:40" hidden="1" x14ac:dyDescent="0.25">
      <c r="A348" s="106" t="s">
        <v>276</v>
      </c>
      <c r="B348" s="52" t="s">
        <v>71</v>
      </c>
      <c r="C348" s="52" t="s">
        <v>127</v>
      </c>
      <c r="D348" s="52" t="s">
        <v>153</v>
      </c>
      <c r="E348" s="52" t="s">
        <v>266</v>
      </c>
      <c r="F348" s="52" t="s">
        <v>267</v>
      </c>
      <c r="G348" s="52" t="s">
        <v>76</v>
      </c>
      <c r="H348" s="52" t="s">
        <v>77</v>
      </c>
      <c r="I348" s="45" t="s">
        <v>78</v>
      </c>
      <c r="J348" s="52" t="s">
        <v>78</v>
      </c>
      <c r="K348" s="52" t="s">
        <v>3</v>
      </c>
      <c r="L348" s="52" t="s">
        <v>125</v>
      </c>
      <c r="N348" s="52" t="s">
        <v>126</v>
      </c>
      <c r="O348" s="52" t="s">
        <v>94</v>
      </c>
      <c r="P348" s="97">
        <v>0.13</v>
      </c>
      <c r="S348" s="100">
        <v>20.729999999996402</v>
      </c>
      <c r="T348" s="100"/>
      <c r="U348" s="100">
        <v>0</v>
      </c>
      <c r="V348" s="100">
        <f t="shared" si="60"/>
        <v>20.729999999996402</v>
      </c>
      <c r="W348" s="100">
        <f t="shared" si="71"/>
        <v>0</v>
      </c>
      <c r="X348" s="100"/>
      <c r="Y348" s="50">
        <f t="shared" si="66"/>
        <v>0</v>
      </c>
      <c r="Z348" s="50">
        <f t="shared" si="67"/>
        <v>0</v>
      </c>
      <c r="AA348" s="104">
        <f t="shared" si="68"/>
        <v>0</v>
      </c>
      <c r="AB348" s="100">
        <f t="shared" si="72"/>
        <v>0</v>
      </c>
      <c r="AC348" s="97">
        <v>0.05</v>
      </c>
      <c r="AD348" s="100"/>
      <c r="AG348" s="97">
        <v>0.42</v>
      </c>
      <c r="AH348" s="100">
        <f t="shared" si="61"/>
        <v>0</v>
      </c>
      <c r="AI348" s="100">
        <v>0</v>
      </c>
      <c r="AJ348" s="100">
        <f t="shared" si="69"/>
        <v>0</v>
      </c>
      <c r="AK348" s="100">
        <v>0</v>
      </c>
      <c r="AL348" s="100">
        <f t="shared" si="70"/>
        <v>0</v>
      </c>
      <c r="AM348" s="100">
        <f t="shared" si="73"/>
        <v>0</v>
      </c>
    </row>
    <row r="349" spans="1:40" hidden="1" x14ac:dyDescent="0.25">
      <c r="A349" s="106" t="s">
        <v>276</v>
      </c>
      <c r="B349" s="52" t="s">
        <v>71</v>
      </c>
      <c r="C349" s="52" t="s">
        <v>127</v>
      </c>
      <c r="D349" s="52" t="s">
        <v>128</v>
      </c>
      <c r="E349" s="52" t="s">
        <v>268</v>
      </c>
      <c r="F349" s="52" t="s">
        <v>269</v>
      </c>
      <c r="G349" s="52" t="s">
        <v>76</v>
      </c>
      <c r="H349" s="52" t="s">
        <v>77</v>
      </c>
      <c r="I349" s="45" t="s">
        <v>78</v>
      </c>
      <c r="J349" s="52" t="s">
        <v>78</v>
      </c>
      <c r="K349" s="52" t="s">
        <v>3</v>
      </c>
      <c r="L349" s="52" t="s">
        <v>125</v>
      </c>
      <c r="N349" s="52" t="s">
        <v>126</v>
      </c>
      <c r="O349" s="52" t="s">
        <v>94</v>
      </c>
      <c r="P349" s="97">
        <v>0.03</v>
      </c>
      <c r="S349" s="100">
        <v>22.61</v>
      </c>
      <c r="T349" s="100"/>
      <c r="U349" s="100">
        <v>0</v>
      </c>
      <c r="V349" s="100">
        <f t="shared" si="60"/>
        <v>22.61</v>
      </c>
      <c r="W349" s="100">
        <f t="shared" si="71"/>
        <v>0</v>
      </c>
      <c r="X349" s="100"/>
      <c r="Y349" s="50">
        <f t="shared" si="66"/>
        <v>0</v>
      </c>
      <c r="Z349" s="50">
        <f t="shared" si="67"/>
        <v>0</v>
      </c>
      <c r="AA349" s="104">
        <f t="shared" si="68"/>
        <v>0</v>
      </c>
      <c r="AB349" s="100">
        <f t="shared" si="72"/>
        <v>0</v>
      </c>
      <c r="AC349" s="97">
        <v>0.05</v>
      </c>
      <c r="AD349" s="100"/>
      <c r="AG349" s="97">
        <v>0.42</v>
      </c>
      <c r="AH349" s="100">
        <f t="shared" si="61"/>
        <v>0</v>
      </c>
      <c r="AI349" s="100">
        <v>0</v>
      </c>
      <c r="AJ349" s="100">
        <f t="shared" si="69"/>
        <v>0</v>
      </c>
      <c r="AK349" s="100">
        <v>0</v>
      </c>
      <c r="AL349" s="100">
        <f t="shared" si="70"/>
        <v>0</v>
      </c>
      <c r="AM349" s="100">
        <f t="shared" si="73"/>
        <v>0</v>
      </c>
    </row>
    <row r="350" spans="1:40" hidden="1" x14ac:dyDescent="0.25">
      <c r="A350" s="106" t="s">
        <v>276</v>
      </c>
      <c r="B350" s="52" t="s">
        <v>71</v>
      </c>
      <c r="C350" s="52" t="s">
        <v>127</v>
      </c>
      <c r="D350" s="52" t="s">
        <v>128</v>
      </c>
      <c r="E350" s="52" t="s">
        <v>270</v>
      </c>
      <c r="F350" s="52" t="s">
        <v>271</v>
      </c>
      <c r="G350" s="52" t="s">
        <v>76</v>
      </c>
      <c r="H350" s="52" t="s">
        <v>77</v>
      </c>
      <c r="I350" s="45" t="s">
        <v>78</v>
      </c>
      <c r="J350" s="52" t="s">
        <v>78</v>
      </c>
      <c r="K350" s="52" t="s">
        <v>3</v>
      </c>
      <c r="L350" s="52" t="s">
        <v>125</v>
      </c>
      <c r="N350" s="52" t="s">
        <v>126</v>
      </c>
      <c r="O350" s="52" t="s">
        <v>94</v>
      </c>
      <c r="P350" s="97">
        <v>0.13</v>
      </c>
      <c r="S350" s="100">
        <v>29.53</v>
      </c>
      <c r="T350" s="100"/>
      <c r="U350" s="100">
        <v>0</v>
      </c>
      <c r="V350" s="100">
        <f t="shared" si="60"/>
        <v>29.53</v>
      </c>
      <c r="W350" s="100">
        <f t="shared" si="71"/>
        <v>0</v>
      </c>
      <c r="X350" s="100"/>
      <c r="Y350" s="50">
        <f t="shared" si="66"/>
        <v>0</v>
      </c>
      <c r="Z350" s="50">
        <f t="shared" si="67"/>
        <v>0</v>
      </c>
      <c r="AA350" s="104">
        <f t="shared" si="68"/>
        <v>0</v>
      </c>
      <c r="AB350" s="100">
        <f t="shared" si="72"/>
        <v>0</v>
      </c>
      <c r="AC350" s="97">
        <v>0.05</v>
      </c>
      <c r="AD350" s="100"/>
      <c r="AG350" s="97">
        <v>0.42</v>
      </c>
      <c r="AH350" s="100">
        <f t="shared" si="61"/>
        <v>0</v>
      </c>
      <c r="AI350" s="100">
        <v>0</v>
      </c>
      <c r="AJ350" s="100">
        <f t="shared" si="69"/>
        <v>0</v>
      </c>
      <c r="AK350" s="100">
        <v>0</v>
      </c>
      <c r="AL350" s="100">
        <f t="shared" si="70"/>
        <v>0</v>
      </c>
      <c r="AM350" s="100">
        <f t="shared" si="73"/>
        <v>0</v>
      </c>
    </row>
    <row r="351" spans="1:40" hidden="1" x14ac:dyDescent="0.25">
      <c r="A351" s="106" t="s">
        <v>276</v>
      </c>
      <c r="B351" s="52" t="s">
        <v>71</v>
      </c>
      <c r="C351" s="52" t="s">
        <v>127</v>
      </c>
      <c r="D351" s="52" t="s">
        <v>128</v>
      </c>
      <c r="E351" s="52" t="s">
        <v>272</v>
      </c>
      <c r="F351" s="52" t="s">
        <v>273</v>
      </c>
      <c r="G351" s="52" t="s">
        <v>76</v>
      </c>
      <c r="H351" s="52" t="s">
        <v>77</v>
      </c>
      <c r="I351" s="45" t="s">
        <v>78</v>
      </c>
      <c r="J351" s="52" t="s">
        <v>78</v>
      </c>
      <c r="K351" s="52" t="s">
        <v>3</v>
      </c>
      <c r="L351" s="52" t="s">
        <v>125</v>
      </c>
      <c r="N351" s="52" t="s">
        <v>126</v>
      </c>
      <c r="O351" s="52" t="s">
        <v>94</v>
      </c>
      <c r="P351" s="97">
        <v>0.21</v>
      </c>
      <c r="S351" s="100">
        <v>1.90619718309881</v>
      </c>
      <c r="T351" s="100"/>
      <c r="U351" s="100">
        <v>0</v>
      </c>
      <c r="V351" s="100">
        <f t="shared" si="60"/>
        <v>1.90619718309881</v>
      </c>
      <c r="W351" s="100">
        <f t="shared" si="71"/>
        <v>0</v>
      </c>
      <c r="X351" s="100"/>
      <c r="Y351" s="50">
        <f t="shared" si="66"/>
        <v>0</v>
      </c>
      <c r="Z351" s="50">
        <f t="shared" si="67"/>
        <v>0</v>
      </c>
      <c r="AA351" s="104">
        <f t="shared" si="68"/>
        <v>0</v>
      </c>
      <c r="AB351" s="100">
        <f t="shared" si="72"/>
        <v>0</v>
      </c>
      <c r="AC351" s="97">
        <v>0.05</v>
      </c>
      <c r="AD351" s="100"/>
      <c r="AG351" s="97">
        <v>0.42</v>
      </c>
      <c r="AH351" s="100">
        <f t="shared" si="61"/>
        <v>0</v>
      </c>
      <c r="AI351" s="100">
        <v>0</v>
      </c>
      <c r="AJ351" s="100">
        <f t="shared" si="69"/>
        <v>0</v>
      </c>
      <c r="AK351" s="100">
        <v>0</v>
      </c>
      <c r="AL351" s="100">
        <f t="shared" si="70"/>
        <v>0</v>
      </c>
      <c r="AM351" s="100">
        <f t="shared" si="73"/>
        <v>0</v>
      </c>
    </row>
    <row r="352" spans="1:40" hidden="1" x14ac:dyDescent="0.25">
      <c r="A352" s="106" t="s">
        <v>276</v>
      </c>
      <c r="B352" s="52" t="s">
        <v>71</v>
      </c>
      <c r="C352" s="52" t="s">
        <v>127</v>
      </c>
      <c r="D352" s="52" t="s">
        <v>128</v>
      </c>
      <c r="E352" s="52" t="s">
        <v>274</v>
      </c>
      <c r="F352" s="52" t="s">
        <v>275</v>
      </c>
      <c r="G352" s="52" t="s">
        <v>76</v>
      </c>
      <c r="H352" s="52" t="s">
        <v>77</v>
      </c>
      <c r="I352" s="45" t="s">
        <v>78</v>
      </c>
      <c r="J352" s="52" t="s">
        <v>78</v>
      </c>
      <c r="K352" s="52" t="s">
        <v>3</v>
      </c>
      <c r="L352" s="52" t="s">
        <v>125</v>
      </c>
      <c r="N352" s="52" t="s">
        <v>126</v>
      </c>
      <c r="O352" s="52" t="s">
        <v>94</v>
      </c>
      <c r="P352" s="97">
        <v>0.03</v>
      </c>
      <c r="S352" s="100">
        <v>62.533943663001999</v>
      </c>
      <c r="T352" s="100"/>
      <c r="U352" s="100">
        <v>0</v>
      </c>
      <c r="V352" s="100">
        <f t="shared" si="60"/>
        <v>62.533943663001999</v>
      </c>
      <c r="W352" s="100">
        <f t="shared" si="71"/>
        <v>0</v>
      </c>
      <c r="X352" s="100"/>
      <c r="Y352" s="50">
        <f t="shared" si="66"/>
        <v>0</v>
      </c>
      <c r="Z352" s="50">
        <f t="shared" si="67"/>
        <v>0</v>
      </c>
      <c r="AA352" s="104">
        <f t="shared" si="68"/>
        <v>0</v>
      </c>
      <c r="AB352" s="100">
        <f t="shared" si="72"/>
        <v>0</v>
      </c>
      <c r="AC352" s="97">
        <v>0.05</v>
      </c>
      <c r="AD352" s="100"/>
      <c r="AG352" s="97">
        <v>0.42</v>
      </c>
      <c r="AH352" s="100">
        <f t="shared" si="61"/>
        <v>0</v>
      </c>
      <c r="AI352" s="100">
        <v>0</v>
      </c>
      <c r="AJ352" s="100">
        <f t="shared" si="69"/>
        <v>0</v>
      </c>
      <c r="AK352" s="100">
        <v>0</v>
      </c>
      <c r="AL352" s="100">
        <f t="shared" si="70"/>
        <v>0</v>
      </c>
      <c r="AM352" s="100">
        <f t="shared" si="73"/>
        <v>0</v>
      </c>
    </row>
    <row r="353" spans="1:40" hidden="1" x14ac:dyDescent="0.25">
      <c r="A353" s="106" t="s">
        <v>276</v>
      </c>
      <c r="B353" s="52" t="s">
        <v>71</v>
      </c>
      <c r="C353" s="52" t="s">
        <v>82</v>
      </c>
      <c r="D353" s="52" t="s">
        <v>208</v>
      </c>
      <c r="E353" s="52" t="s">
        <v>214</v>
      </c>
      <c r="F353" s="52" t="s">
        <v>264</v>
      </c>
      <c r="G353" s="52" t="s">
        <v>76</v>
      </c>
      <c r="H353" s="52" t="s">
        <v>210</v>
      </c>
      <c r="I353" s="45" t="s">
        <v>203</v>
      </c>
      <c r="J353" s="52" t="s">
        <v>284</v>
      </c>
      <c r="K353" s="52" t="s">
        <v>3</v>
      </c>
      <c r="L353" s="52" t="s">
        <v>214</v>
      </c>
      <c r="N353" s="52" t="s">
        <v>212</v>
      </c>
      <c r="O353" s="52" t="s">
        <v>81</v>
      </c>
      <c r="P353" s="105">
        <v>0</v>
      </c>
      <c r="S353" s="104">
        <v>0</v>
      </c>
      <c r="T353" s="104">
        <v>14970000</v>
      </c>
      <c r="U353" s="104">
        <v>14820300</v>
      </c>
      <c r="V353" s="104">
        <v>0</v>
      </c>
      <c r="W353" s="104">
        <f>IF(O353="返现",U353,IF(O353="折扣",U353*P353,U353/(1+P353)))</f>
        <v>14820300</v>
      </c>
      <c r="X353" s="104"/>
      <c r="Y353" s="50">
        <f t="shared" si="66"/>
        <v>0</v>
      </c>
      <c r="Z353" s="50">
        <f t="shared" si="67"/>
        <v>14820300</v>
      </c>
      <c r="AA353" s="104">
        <f t="shared" si="68"/>
        <v>0</v>
      </c>
      <c r="AB353" s="104">
        <v>14970000</v>
      </c>
      <c r="AC353" s="105">
        <v>0</v>
      </c>
      <c r="AD353" s="104">
        <f>AB353*AC353</f>
        <v>0</v>
      </c>
      <c r="AG353" s="105">
        <v>0</v>
      </c>
      <c r="AH353" s="104"/>
      <c r="AI353" s="104">
        <v>0</v>
      </c>
      <c r="AJ353" s="104"/>
      <c r="AK353" s="104"/>
      <c r="AL353" s="104"/>
      <c r="AM353" s="104"/>
    </row>
    <row r="354" spans="1:40" hidden="1" x14ac:dyDescent="0.25">
      <c r="A354" s="106" t="s">
        <v>276</v>
      </c>
      <c r="B354" s="52" t="s">
        <v>3</v>
      </c>
      <c r="C354" s="52" t="s">
        <v>82</v>
      </c>
      <c r="D354" s="52" t="s">
        <v>83</v>
      </c>
      <c r="E354" s="52" t="s">
        <v>88</v>
      </c>
      <c r="F354" s="52" t="s">
        <v>88</v>
      </c>
      <c r="G354" s="52" t="s">
        <v>88</v>
      </c>
      <c r="H354" s="52" t="s">
        <v>202</v>
      </c>
      <c r="I354" s="45" t="s">
        <v>203</v>
      </c>
      <c r="J354" s="52" t="s">
        <v>244</v>
      </c>
      <c r="K354" s="52" t="s">
        <v>3</v>
      </c>
      <c r="L354" s="52" t="s">
        <v>88</v>
      </c>
      <c r="N354" s="52" t="s">
        <v>86</v>
      </c>
      <c r="O354" s="52" t="s">
        <v>81</v>
      </c>
      <c r="P354" s="97">
        <v>0</v>
      </c>
      <c r="R354" s="52" t="s">
        <v>205</v>
      </c>
      <c r="S354" s="100">
        <v>0</v>
      </c>
      <c r="T354" s="100">
        <v>109734.59</v>
      </c>
      <c r="U354" s="100">
        <v>109734.59</v>
      </c>
      <c r="V354" s="104">
        <f t="shared" ref="V354:V356" si="74">S354+T354-U354</f>
        <v>0</v>
      </c>
      <c r="W354" s="104">
        <v>0</v>
      </c>
      <c r="X354" s="100"/>
      <c r="Y354" s="50">
        <f t="shared" si="66"/>
        <v>0</v>
      </c>
      <c r="Z354" s="50">
        <f t="shared" si="67"/>
        <v>0</v>
      </c>
      <c r="AA354" s="104">
        <f t="shared" si="68"/>
        <v>109734.59</v>
      </c>
      <c r="AB354" s="100">
        <v>109734.59</v>
      </c>
      <c r="AC354" s="105">
        <v>0</v>
      </c>
      <c r="AD354" s="100">
        <f t="shared" ref="AD354:AD358" si="75">AB354*AC354</f>
        <v>0</v>
      </c>
      <c r="AG354" s="97">
        <v>0</v>
      </c>
      <c r="AH354" s="100"/>
      <c r="AI354" s="100">
        <v>0</v>
      </c>
      <c r="AJ354" s="100"/>
      <c r="AK354" s="100"/>
      <c r="AL354" s="100"/>
      <c r="AM354" s="100"/>
    </row>
    <row r="355" spans="1:40" hidden="1" x14ac:dyDescent="0.25">
      <c r="A355" s="106" t="s">
        <v>276</v>
      </c>
      <c r="B355" s="52" t="s">
        <v>3</v>
      </c>
      <c r="C355" s="52" t="s">
        <v>82</v>
      </c>
      <c r="D355" s="52" t="s">
        <v>83</v>
      </c>
      <c r="E355" s="52" t="s">
        <v>88</v>
      </c>
      <c r="F355" s="52" t="s">
        <v>88</v>
      </c>
      <c r="G355" s="52" t="s">
        <v>88</v>
      </c>
      <c r="H355" s="52" t="s">
        <v>285</v>
      </c>
      <c r="I355" s="45" t="s">
        <v>203</v>
      </c>
      <c r="J355" s="52" t="s">
        <v>207</v>
      </c>
      <c r="K355" s="52" t="s">
        <v>3</v>
      </c>
      <c r="L355" s="52" t="s">
        <v>88</v>
      </c>
      <c r="N355" s="52" t="s">
        <v>86</v>
      </c>
      <c r="O355" s="52" t="s">
        <v>81</v>
      </c>
      <c r="P355" s="97">
        <v>0</v>
      </c>
      <c r="R355" s="52" t="s">
        <v>205</v>
      </c>
      <c r="S355" s="100">
        <v>0</v>
      </c>
      <c r="T355" s="100">
        <v>81000</v>
      </c>
      <c r="U355" s="100">
        <v>81000</v>
      </c>
      <c r="V355" s="104">
        <f t="shared" si="74"/>
        <v>0</v>
      </c>
      <c r="W355" s="104">
        <v>0</v>
      </c>
      <c r="X355" s="100"/>
      <c r="Y355" s="50">
        <f t="shared" si="66"/>
        <v>0</v>
      </c>
      <c r="Z355" s="50">
        <f t="shared" si="67"/>
        <v>0</v>
      </c>
      <c r="AA355" s="104">
        <f t="shared" si="68"/>
        <v>81000</v>
      </c>
      <c r="AB355" s="100">
        <v>81000</v>
      </c>
      <c r="AC355" s="105">
        <v>0</v>
      </c>
      <c r="AD355" s="100">
        <f t="shared" si="75"/>
        <v>0</v>
      </c>
      <c r="AG355" s="97">
        <v>0</v>
      </c>
      <c r="AH355" s="100"/>
      <c r="AI355" s="100">
        <v>0</v>
      </c>
      <c r="AJ355" s="100"/>
      <c r="AK355" s="100"/>
      <c r="AL355" s="100"/>
      <c r="AM355" s="100"/>
    </row>
    <row r="356" spans="1:40" hidden="1" x14ac:dyDescent="0.25">
      <c r="A356" s="106" t="s">
        <v>276</v>
      </c>
      <c r="B356" s="52" t="s">
        <v>3</v>
      </c>
      <c r="C356" s="52" t="s">
        <v>95</v>
      </c>
      <c r="D356" s="52" t="s">
        <v>96</v>
      </c>
      <c r="E356" s="52" t="s">
        <v>192</v>
      </c>
      <c r="F356" s="52" t="s">
        <v>192</v>
      </c>
      <c r="G356" s="52" t="s">
        <v>192</v>
      </c>
      <c r="H356" s="52" t="s">
        <v>77</v>
      </c>
      <c r="I356" s="45" t="s">
        <v>78</v>
      </c>
      <c r="J356" s="52" t="s">
        <v>78</v>
      </c>
      <c r="K356" s="52" t="s">
        <v>3</v>
      </c>
      <c r="L356" s="52" t="str">
        <f>E356</f>
        <v>北京金海群英网络信息技术有限公司</v>
      </c>
      <c r="N356" s="52" t="s">
        <v>201</v>
      </c>
      <c r="O356" s="52" t="s">
        <v>81</v>
      </c>
      <c r="P356" s="97">
        <v>0</v>
      </c>
      <c r="S356" s="100"/>
      <c r="T356" s="100">
        <v>95400</v>
      </c>
      <c r="U356" s="100">
        <v>95400</v>
      </c>
      <c r="V356" s="104">
        <f t="shared" si="74"/>
        <v>0</v>
      </c>
      <c r="W356" s="104">
        <f t="shared" ref="W356:W358" si="76">IF(O356="返现",U356,IF(O356="折扣",U356*P356,U356/(1+P356)))</f>
        <v>95400</v>
      </c>
      <c r="X356" s="100"/>
      <c r="Y356" s="50">
        <f t="shared" si="66"/>
        <v>0</v>
      </c>
      <c r="Z356" s="50">
        <f t="shared" si="67"/>
        <v>95400</v>
      </c>
      <c r="AA356" s="104">
        <f t="shared" si="68"/>
        <v>0</v>
      </c>
      <c r="AB356" s="100">
        <v>95400</v>
      </c>
      <c r="AC356" s="97">
        <v>0.05</v>
      </c>
      <c r="AD356" s="100">
        <f t="shared" si="75"/>
        <v>4770</v>
      </c>
      <c r="AE356" s="52" t="s">
        <v>286</v>
      </c>
      <c r="AG356" s="97">
        <v>0</v>
      </c>
      <c r="AH356" s="100"/>
      <c r="AI356" s="100"/>
    </row>
    <row r="357" spans="1:40" hidden="1" x14ac:dyDescent="0.25">
      <c r="A357" s="106" t="s">
        <v>276</v>
      </c>
      <c r="B357" s="52" t="s">
        <v>3</v>
      </c>
      <c r="C357" s="52" t="s">
        <v>82</v>
      </c>
      <c r="D357" s="52" t="s">
        <v>83</v>
      </c>
      <c r="E357" s="52" t="s">
        <v>88</v>
      </c>
      <c r="F357" s="52" t="s">
        <v>88</v>
      </c>
      <c r="G357" s="52" t="s">
        <v>88</v>
      </c>
      <c r="H357" s="52" t="s">
        <v>77</v>
      </c>
      <c r="I357" s="45" t="s">
        <v>78</v>
      </c>
      <c r="J357" s="52" t="s">
        <v>78</v>
      </c>
      <c r="K357" s="52" t="s">
        <v>3</v>
      </c>
      <c r="L357" s="52" t="s">
        <v>88</v>
      </c>
      <c r="N357" s="52" t="s">
        <v>201</v>
      </c>
      <c r="O357" s="52" t="s">
        <v>81</v>
      </c>
      <c r="P357" s="97">
        <v>0</v>
      </c>
      <c r="R357" s="52" t="s">
        <v>287</v>
      </c>
      <c r="S357" s="100">
        <v>0</v>
      </c>
      <c r="T357" s="100">
        <v>3704750</v>
      </c>
      <c r="U357" s="100">
        <v>6794871.79</v>
      </c>
      <c r="V357" s="104">
        <v>0</v>
      </c>
      <c r="W357" s="104">
        <v>6410256.4056603797</v>
      </c>
      <c r="X357" s="100">
        <f>384615.384339623+3867490.29</f>
        <v>4252105.6743396232</v>
      </c>
      <c r="Y357" s="50">
        <f t="shared" si="66"/>
        <v>2705506.4056603797</v>
      </c>
      <c r="Z357" s="50">
        <f t="shared" si="67"/>
        <v>10662362.080000002</v>
      </c>
      <c r="AA357" s="104">
        <f t="shared" ref="AA357:AA388" si="77">IF(O357="返现",W357*P357,U357-W357)</f>
        <v>384615.38433962036</v>
      </c>
      <c r="AB357" s="100">
        <v>3704750</v>
      </c>
      <c r="AC357" s="97">
        <v>0.05</v>
      </c>
      <c r="AD357" s="100">
        <f t="shared" si="75"/>
        <v>185237.5</v>
      </c>
      <c r="AE357" s="52" t="s">
        <v>286</v>
      </c>
      <c r="AG357" s="97">
        <v>0</v>
      </c>
      <c r="AH357" s="100"/>
      <c r="AI357" s="100">
        <v>0</v>
      </c>
    </row>
    <row r="358" spans="1:40" hidden="1" x14ac:dyDescent="0.25">
      <c r="A358" s="106" t="s">
        <v>276</v>
      </c>
      <c r="B358" s="52" t="s">
        <v>71</v>
      </c>
      <c r="C358" s="52" t="s">
        <v>82</v>
      </c>
      <c r="D358" s="52" t="s">
        <v>83</v>
      </c>
      <c r="E358" s="52" t="s">
        <v>277</v>
      </c>
      <c r="F358" s="52" t="s">
        <v>278</v>
      </c>
      <c r="G358" s="52" t="s">
        <v>76</v>
      </c>
      <c r="H358" s="52" t="s">
        <v>77</v>
      </c>
      <c r="I358" s="45" t="s">
        <v>78</v>
      </c>
      <c r="J358" s="52" t="s">
        <v>78</v>
      </c>
      <c r="K358" s="52" t="s">
        <v>3</v>
      </c>
      <c r="L358" s="52" t="s">
        <v>277</v>
      </c>
      <c r="N358" s="52" t="s">
        <v>212</v>
      </c>
      <c r="O358" s="52" t="s">
        <v>81</v>
      </c>
      <c r="P358" s="110">
        <v>0</v>
      </c>
      <c r="S358" s="104">
        <v>0</v>
      </c>
      <c r="T358" s="104">
        <v>0</v>
      </c>
      <c r="U358" s="104">
        <v>173947.4</v>
      </c>
      <c r="V358" s="104">
        <v>0</v>
      </c>
      <c r="W358" s="104">
        <f t="shared" si="76"/>
        <v>173947.4</v>
      </c>
      <c r="X358" s="104"/>
      <c r="Y358" s="50">
        <f t="shared" si="66"/>
        <v>0</v>
      </c>
      <c r="Z358" s="50">
        <f t="shared" si="67"/>
        <v>173947.4</v>
      </c>
      <c r="AA358" s="104">
        <f t="shared" si="77"/>
        <v>0</v>
      </c>
      <c r="AB358" s="104">
        <v>173947.4</v>
      </c>
      <c r="AC358" s="97">
        <v>0.05</v>
      </c>
      <c r="AD358" s="104">
        <f t="shared" si="75"/>
        <v>8697.3700000000008</v>
      </c>
      <c r="AE358" s="52" t="s">
        <v>286</v>
      </c>
      <c r="AG358" s="105">
        <v>0</v>
      </c>
      <c r="AH358" s="104"/>
      <c r="AI358" s="104"/>
      <c r="AJ358" s="104"/>
      <c r="AK358" s="104"/>
      <c r="AL358" s="104"/>
      <c r="AM358" s="104"/>
    </row>
    <row r="359" spans="1:40" hidden="1" x14ac:dyDescent="0.25">
      <c r="A359" s="106" t="s">
        <v>276</v>
      </c>
      <c r="B359" s="52" t="s">
        <v>3</v>
      </c>
      <c r="C359" s="52" t="s">
        <v>82</v>
      </c>
      <c r="D359" s="52" t="s">
        <v>83</v>
      </c>
      <c r="E359" s="52" t="s">
        <v>88</v>
      </c>
      <c r="F359" s="52" t="s">
        <v>88</v>
      </c>
      <c r="G359" s="52" t="s">
        <v>88</v>
      </c>
      <c r="H359" s="52" t="s">
        <v>77</v>
      </c>
      <c r="I359" s="45" t="s">
        <v>78</v>
      </c>
      <c r="J359" s="52" t="s">
        <v>78</v>
      </c>
      <c r="K359" s="52" t="s">
        <v>3</v>
      </c>
      <c r="L359" s="52" t="s">
        <v>88</v>
      </c>
      <c r="N359" s="52" t="s">
        <v>212</v>
      </c>
      <c r="O359" s="52" t="s">
        <v>81</v>
      </c>
      <c r="P359" s="97">
        <v>0</v>
      </c>
      <c r="R359" s="52" t="s">
        <v>53</v>
      </c>
      <c r="S359" s="100"/>
      <c r="T359" s="100"/>
      <c r="V359" s="100"/>
      <c r="W359" s="100"/>
      <c r="X359" s="100">
        <v>4240</v>
      </c>
      <c r="Y359" s="50">
        <f t="shared" si="66"/>
        <v>0</v>
      </c>
      <c r="Z359" s="50">
        <f t="shared" si="67"/>
        <v>4240</v>
      </c>
      <c r="AA359" s="104">
        <f t="shared" si="77"/>
        <v>0</v>
      </c>
      <c r="AB359" s="100"/>
      <c r="AC359" s="97">
        <v>0.05</v>
      </c>
      <c r="AG359" s="97">
        <v>0</v>
      </c>
    </row>
    <row r="360" spans="1:40" hidden="1" x14ac:dyDescent="0.25">
      <c r="A360" s="106" t="s">
        <v>276</v>
      </c>
      <c r="B360" s="52" t="s">
        <v>3</v>
      </c>
      <c r="C360" s="52" t="s">
        <v>82</v>
      </c>
      <c r="D360" s="52" t="s">
        <v>83</v>
      </c>
      <c r="E360" s="52" t="s">
        <v>88</v>
      </c>
      <c r="F360" s="52" t="s">
        <v>88</v>
      </c>
      <c r="G360" s="52" t="s">
        <v>88</v>
      </c>
      <c r="H360" s="52" t="s">
        <v>77</v>
      </c>
      <c r="I360" s="45" t="s">
        <v>78</v>
      </c>
      <c r="J360" s="52" t="s">
        <v>78</v>
      </c>
      <c r="K360" s="52" t="s">
        <v>3</v>
      </c>
      <c r="L360" s="52" t="s">
        <v>88</v>
      </c>
      <c r="N360" s="52" t="s">
        <v>126</v>
      </c>
      <c r="O360" s="52" t="s">
        <v>81</v>
      </c>
      <c r="P360" s="97">
        <v>0</v>
      </c>
      <c r="R360" s="52" t="s">
        <v>53</v>
      </c>
      <c r="S360" s="100"/>
      <c r="T360" s="100"/>
      <c r="V360" s="100"/>
      <c r="W360" s="100"/>
      <c r="X360" s="100">
        <v>218560</v>
      </c>
      <c r="Y360" s="50">
        <f t="shared" si="66"/>
        <v>0</v>
      </c>
      <c r="Z360" s="50">
        <f t="shared" si="67"/>
        <v>218560</v>
      </c>
      <c r="AA360" s="104">
        <f t="shared" si="77"/>
        <v>0</v>
      </c>
      <c r="AB360" s="100"/>
      <c r="AC360" s="97">
        <v>0.05</v>
      </c>
    </row>
    <row r="361" spans="1:40" hidden="1" x14ac:dyDescent="0.25">
      <c r="A361" s="106" t="s">
        <v>276</v>
      </c>
      <c r="B361" s="52" t="s">
        <v>3</v>
      </c>
      <c r="C361" s="52" t="s">
        <v>82</v>
      </c>
      <c r="D361" s="52" t="s">
        <v>83</v>
      </c>
      <c r="E361" s="52" t="s">
        <v>88</v>
      </c>
      <c r="F361" s="52" t="s">
        <v>88</v>
      </c>
      <c r="G361" s="52" t="s">
        <v>88</v>
      </c>
      <c r="H361" s="52" t="s">
        <v>234</v>
      </c>
      <c r="I361" s="45" t="s">
        <v>203</v>
      </c>
      <c r="J361" s="52" t="s">
        <v>288</v>
      </c>
      <c r="K361" s="52" t="s">
        <v>3</v>
      </c>
      <c r="L361" s="52" t="s">
        <v>88</v>
      </c>
      <c r="N361" s="52" t="s">
        <v>86</v>
      </c>
      <c r="O361" s="52" t="s">
        <v>81</v>
      </c>
      <c r="P361" s="97">
        <v>0</v>
      </c>
      <c r="R361" s="52" t="s">
        <v>53</v>
      </c>
      <c r="S361" s="100"/>
      <c r="T361" s="100"/>
      <c r="V361" s="100"/>
      <c r="W361" s="100"/>
      <c r="X361" s="100">
        <v>81408</v>
      </c>
      <c r="Y361" s="50">
        <f t="shared" si="66"/>
        <v>0</v>
      </c>
      <c r="Z361" s="50">
        <f t="shared" si="67"/>
        <v>81408</v>
      </c>
      <c r="AA361" s="104">
        <f t="shared" si="77"/>
        <v>0</v>
      </c>
      <c r="AB361" s="100"/>
      <c r="AC361" s="105">
        <v>0</v>
      </c>
    </row>
    <row r="362" spans="1:40" hidden="1" x14ac:dyDescent="0.25">
      <c r="A362" s="106" t="s">
        <v>276</v>
      </c>
      <c r="B362" s="52" t="s">
        <v>3</v>
      </c>
      <c r="C362" s="52" t="s">
        <v>82</v>
      </c>
      <c r="D362" s="52" t="s">
        <v>83</v>
      </c>
      <c r="E362" s="52" t="s">
        <v>88</v>
      </c>
      <c r="F362" s="52" t="s">
        <v>88</v>
      </c>
      <c r="G362" s="52" t="s">
        <v>88</v>
      </c>
      <c r="H362" s="52" t="s">
        <v>289</v>
      </c>
      <c r="I362" s="45" t="s">
        <v>203</v>
      </c>
      <c r="J362" s="52" t="s">
        <v>288</v>
      </c>
      <c r="K362" s="52" t="s">
        <v>3</v>
      </c>
      <c r="L362" s="52" t="s">
        <v>88</v>
      </c>
      <c r="N362" s="52" t="s">
        <v>86</v>
      </c>
      <c r="O362" s="52" t="s">
        <v>81</v>
      </c>
      <c r="P362" s="97">
        <v>0</v>
      </c>
      <c r="R362" s="52" t="s">
        <v>53</v>
      </c>
      <c r="S362" s="100"/>
      <c r="T362" s="100"/>
      <c r="V362" s="100"/>
      <c r="W362" s="100"/>
      <c r="X362" s="100">
        <v>81408</v>
      </c>
      <c r="Y362" s="50">
        <f t="shared" si="66"/>
        <v>0</v>
      </c>
      <c r="Z362" s="50">
        <f t="shared" si="67"/>
        <v>81408</v>
      </c>
      <c r="AA362" s="104">
        <f t="shared" si="77"/>
        <v>0</v>
      </c>
      <c r="AB362" s="100"/>
      <c r="AC362" s="105">
        <v>0</v>
      </c>
    </row>
    <row r="363" spans="1:40" hidden="1" x14ac:dyDescent="0.25">
      <c r="A363" s="106" t="s">
        <v>276</v>
      </c>
      <c r="B363" s="52" t="s">
        <v>3</v>
      </c>
      <c r="C363" s="52" t="s">
        <v>82</v>
      </c>
      <c r="D363" s="52" t="s">
        <v>83</v>
      </c>
      <c r="E363" s="52" t="s">
        <v>88</v>
      </c>
      <c r="F363" s="52" t="s">
        <v>88</v>
      </c>
      <c r="G363" s="52" t="s">
        <v>88</v>
      </c>
      <c r="H363" s="52" t="s">
        <v>289</v>
      </c>
      <c r="I363" s="45" t="s">
        <v>203</v>
      </c>
      <c r="J363" s="52" t="s">
        <v>288</v>
      </c>
      <c r="K363" s="52" t="s">
        <v>3</v>
      </c>
      <c r="L363" s="52" t="s">
        <v>88</v>
      </c>
      <c r="N363" s="52" t="s">
        <v>201</v>
      </c>
      <c r="O363" s="52" t="s">
        <v>81</v>
      </c>
      <c r="P363" s="97">
        <v>0</v>
      </c>
      <c r="R363" s="52" t="s">
        <v>290</v>
      </c>
      <c r="S363" s="100"/>
      <c r="T363" s="100"/>
      <c r="V363" s="100"/>
      <c r="W363" s="100">
        <v>-300000</v>
      </c>
      <c r="X363" s="100"/>
      <c r="Y363" s="50">
        <f t="shared" si="66"/>
        <v>0</v>
      </c>
      <c r="Z363" s="50">
        <f t="shared" si="67"/>
        <v>-300000</v>
      </c>
      <c r="AA363" s="104">
        <f t="shared" si="77"/>
        <v>300000</v>
      </c>
      <c r="AB363" s="100"/>
      <c r="AC363" s="105">
        <v>0</v>
      </c>
    </row>
    <row r="364" spans="1:40" hidden="1" x14ac:dyDescent="0.25">
      <c r="A364" s="106" t="s">
        <v>276</v>
      </c>
      <c r="B364" s="52" t="s">
        <v>71</v>
      </c>
      <c r="C364" s="52" t="s">
        <v>193</v>
      </c>
      <c r="D364" s="52" t="s">
        <v>194</v>
      </c>
      <c r="E364" s="52" t="s">
        <v>291</v>
      </c>
      <c r="F364" s="52" t="s">
        <v>292</v>
      </c>
      <c r="G364" s="52" t="s">
        <v>76</v>
      </c>
      <c r="H364" s="52" t="s">
        <v>77</v>
      </c>
      <c r="I364" s="45" t="s">
        <v>78</v>
      </c>
      <c r="J364" s="52" t="s">
        <v>78</v>
      </c>
      <c r="K364" s="52" t="s">
        <v>3</v>
      </c>
      <c r="L364" s="52" t="s">
        <v>291</v>
      </c>
      <c r="N364" s="52" t="s">
        <v>80</v>
      </c>
      <c r="O364" s="52" t="s">
        <v>81</v>
      </c>
      <c r="P364" s="97">
        <v>0</v>
      </c>
      <c r="S364" s="100">
        <v>21002.44</v>
      </c>
      <c r="T364" s="100">
        <v>0</v>
      </c>
      <c r="U364" s="100">
        <v>0</v>
      </c>
      <c r="V364" s="100">
        <f t="shared" ref="V364:V424" si="78">S364+T364-U364</f>
        <v>21002.44</v>
      </c>
      <c r="W364" s="100">
        <v>0</v>
      </c>
      <c r="X364" s="100"/>
      <c r="Y364" s="50">
        <f t="shared" si="66"/>
        <v>0</v>
      </c>
      <c r="Z364" s="50">
        <f t="shared" si="67"/>
        <v>0</v>
      </c>
      <c r="AA364" s="104">
        <f t="shared" si="77"/>
        <v>0</v>
      </c>
      <c r="AB364" s="100"/>
      <c r="AC364" s="105">
        <v>0</v>
      </c>
      <c r="AG364" s="105">
        <v>0</v>
      </c>
      <c r="AI364" s="100">
        <v>0</v>
      </c>
      <c r="AJ364" s="100">
        <v>0</v>
      </c>
      <c r="AK364" s="100">
        <v>0</v>
      </c>
      <c r="AL364" s="100">
        <v>0</v>
      </c>
      <c r="AM364" s="100">
        <v>0</v>
      </c>
      <c r="AN364" s="100"/>
    </row>
    <row r="365" spans="1:40" hidden="1" x14ac:dyDescent="0.25">
      <c r="A365" s="123" t="s">
        <v>293</v>
      </c>
      <c r="B365" s="79" t="s">
        <v>71</v>
      </c>
      <c r="C365" s="79" t="s">
        <v>82</v>
      </c>
      <c r="D365" s="79" t="s">
        <v>83</v>
      </c>
      <c r="E365" s="79" t="s">
        <v>277</v>
      </c>
      <c r="F365" s="79" t="s">
        <v>278</v>
      </c>
      <c r="G365" s="79" t="s">
        <v>76</v>
      </c>
      <c r="H365" s="79" t="s">
        <v>77</v>
      </c>
      <c r="I365" s="79" t="s">
        <v>78</v>
      </c>
      <c r="J365" s="79" t="s">
        <v>78</v>
      </c>
      <c r="K365" s="79" t="s">
        <v>3</v>
      </c>
      <c r="L365" s="79" t="s">
        <v>279</v>
      </c>
      <c r="M365" s="79"/>
      <c r="N365" s="79" t="s">
        <v>86</v>
      </c>
      <c r="O365" s="79" t="s">
        <v>94</v>
      </c>
      <c r="P365" s="80">
        <v>3.8399999999999997E-2</v>
      </c>
      <c r="Q365" s="79"/>
      <c r="R365" s="79"/>
      <c r="S365" s="55">
        <v>991313.86</v>
      </c>
      <c r="T365" s="55">
        <v>255937.5</v>
      </c>
      <c r="U365" s="55">
        <v>1247262.97</v>
      </c>
      <c r="V365" s="55">
        <f t="shared" si="78"/>
        <v>-11.610000000102445</v>
      </c>
      <c r="W365" s="55">
        <f>IF(O365="返现",U365,U365*(1+AG365)/(1+P365+AG365))</f>
        <v>1210934.9223300971</v>
      </c>
      <c r="X365" s="79"/>
      <c r="Y365" s="50">
        <f t="shared" si="66"/>
        <v>0</v>
      </c>
      <c r="Z365" s="50">
        <f>W365+X365+AN365</f>
        <v>1210934.9223300971</v>
      </c>
      <c r="AA365" s="55">
        <f t="shared" si="77"/>
        <v>36328.04766990291</v>
      </c>
      <c r="AB365" s="124">
        <f>U365</f>
        <v>1247262.97</v>
      </c>
      <c r="AC365" s="80">
        <v>0.05</v>
      </c>
      <c r="AD365" s="79"/>
      <c r="AE365" s="55"/>
      <c r="AF365" s="55"/>
      <c r="AG365" s="80">
        <v>0.28000000000000003</v>
      </c>
      <c r="AH365" s="55">
        <f t="shared" ref="AH365:AH424" si="79">AK365/(1+AG365)</f>
        <v>1249158.15625</v>
      </c>
      <c r="AI365" s="55">
        <v>0</v>
      </c>
      <c r="AJ365" s="55">
        <f t="shared" ref="AJ365:AJ396" si="80">T365*AG365</f>
        <v>71662.5</v>
      </c>
      <c r="AK365" s="55">
        <v>1598922.44</v>
      </c>
      <c r="AL365" s="55">
        <f>AI365+AJ365-AK365+U365</f>
        <v>-279996.96999999997</v>
      </c>
      <c r="AM365" s="55">
        <f>IF(O365="返现",AK365/(1+AG365),AK365/(1+P365+AG365))</f>
        <v>1212774.9089805824</v>
      </c>
      <c r="AN365" s="99"/>
    </row>
    <row r="366" spans="1:40" hidden="1" x14ac:dyDescent="0.25">
      <c r="A366" s="123" t="s">
        <v>293</v>
      </c>
      <c r="B366" s="79" t="s">
        <v>71</v>
      </c>
      <c r="C366" s="79" t="s">
        <v>82</v>
      </c>
      <c r="D366" s="79" t="s">
        <v>83</v>
      </c>
      <c r="E366" s="79" t="s">
        <v>277</v>
      </c>
      <c r="F366" s="79" t="s">
        <v>278</v>
      </c>
      <c r="G366" s="79" t="s">
        <v>76</v>
      </c>
      <c r="H366" s="79" t="s">
        <v>77</v>
      </c>
      <c r="I366" s="79" t="s">
        <v>78</v>
      </c>
      <c r="J366" s="79" t="s">
        <v>78</v>
      </c>
      <c r="K366" s="79" t="s">
        <v>3</v>
      </c>
      <c r="L366" s="79" t="s">
        <v>279</v>
      </c>
      <c r="M366" s="79"/>
      <c r="N366" s="79" t="s">
        <v>126</v>
      </c>
      <c r="O366" s="79" t="s">
        <v>94</v>
      </c>
      <c r="P366" s="80">
        <v>4.1399999999999999E-2</v>
      </c>
      <c r="Q366" s="79"/>
      <c r="R366" s="79"/>
      <c r="S366" s="55">
        <v>0</v>
      </c>
      <c r="T366" s="55">
        <v>977434.78</v>
      </c>
      <c r="U366" s="55">
        <v>456774.48</v>
      </c>
      <c r="V366" s="55">
        <f t="shared" si="78"/>
        <v>520660.30000000005</v>
      </c>
      <c r="W366" s="55">
        <f>IF(O366="返现",U366,U366*(1+AG366)/(1+P366+AG366))</f>
        <v>443470.36893203872</v>
      </c>
      <c r="X366" s="79"/>
      <c r="Y366" s="50">
        <f t="shared" si="66"/>
        <v>0</v>
      </c>
      <c r="Z366" s="50">
        <f t="shared" si="67"/>
        <v>443470.36893203872</v>
      </c>
      <c r="AA366" s="55">
        <f t="shared" si="77"/>
        <v>13304.111067961261</v>
      </c>
      <c r="AB366" s="124">
        <f>U366</f>
        <v>456774.48</v>
      </c>
      <c r="AC366" s="80">
        <v>0.05</v>
      </c>
      <c r="AD366" s="79"/>
      <c r="AE366" s="55"/>
      <c r="AF366" s="55"/>
      <c r="AG366" s="80">
        <v>0.38</v>
      </c>
      <c r="AH366" s="55">
        <f t="shared" si="79"/>
        <v>456997.68115942035</v>
      </c>
      <c r="AI366" s="55">
        <v>0</v>
      </c>
      <c r="AJ366" s="55">
        <f t="shared" si="80"/>
        <v>371425.21640000003</v>
      </c>
      <c r="AK366" s="55">
        <v>630656.80000000005</v>
      </c>
      <c r="AL366" s="55">
        <f>AI366+AJ366-AK366+U366</f>
        <v>197542.89639999997</v>
      </c>
      <c r="AM366" s="55">
        <f>IF(O366="返现",AK366/(1+AG366),AK366/(1+P366+AG366))</f>
        <v>443687.06908681575</v>
      </c>
      <c r="AN366" s="99"/>
    </row>
    <row r="367" spans="1:40" hidden="1" x14ac:dyDescent="0.25">
      <c r="A367" s="123" t="s">
        <v>293</v>
      </c>
      <c r="B367" s="79" t="s">
        <v>71</v>
      </c>
      <c r="C367" s="79" t="s">
        <v>82</v>
      </c>
      <c r="D367" s="79" t="s">
        <v>83</v>
      </c>
      <c r="E367" s="79" t="s">
        <v>277</v>
      </c>
      <c r="F367" s="79" t="s">
        <v>278</v>
      </c>
      <c r="G367" s="79" t="s">
        <v>76</v>
      </c>
      <c r="H367" s="79" t="s">
        <v>77</v>
      </c>
      <c r="I367" s="79" t="s">
        <v>78</v>
      </c>
      <c r="J367" s="79" t="s">
        <v>78</v>
      </c>
      <c r="K367" s="79" t="s">
        <v>3</v>
      </c>
      <c r="L367" s="79" t="s">
        <v>279</v>
      </c>
      <c r="M367" s="79"/>
      <c r="N367" s="79" t="s">
        <v>126</v>
      </c>
      <c r="O367" s="79" t="s">
        <v>94</v>
      </c>
      <c r="P367" s="80">
        <v>4.1399999999999999E-2</v>
      </c>
      <c r="Q367" s="79"/>
      <c r="R367" s="79" t="s">
        <v>294</v>
      </c>
      <c r="S367" s="55">
        <v>0</v>
      </c>
      <c r="T367" s="55">
        <v>22287.39</v>
      </c>
      <c r="U367" s="55">
        <v>22287.39</v>
      </c>
      <c r="V367" s="55">
        <f t="shared" si="78"/>
        <v>0</v>
      </c>
      <c r="W367" s="55">
        <v>0</v>
      </c>
      <c r="X367" s="79"/>
      <c r="Y367" s="50">
        <f t="shared" si="66"/>
        <v>0</v>
      </c>
      <c r="Z367" s="50">
        <f t="shared" si="67"/>
        <v>0</v>
      </c>
      <c r="AA367" s="55">
        <f t="shared" si="77"/>
        <v>22287.39</v>
      </c>
      <c r="AB367" s="124">
        <f>U367</f>
        <v>22287.39</v>
      </c>
      <c r="AC367" s="80">
        <v>0.05</v>
      </c>
      <c r="AD367" s="79"/>
      <c r="AE367" s="55"/>
      <c r="AF367" s="55"/>
      <c r="AG367" s="80">
        <v>0.38</v>
      </c>
      <c r="AH367" s="55">
        <f t="shared" si="79"/>
        <v>22287.391304347828</v>
      </c>
      <c r="AI367" s="55">
        <v>0</v>
      </c>
      <c r="AJ367" s="55">
        <f t="shared" si="80"/>
        <v>8469.2081999999991</v>
      </c>
      <c r="AK367" s="55">
        <v>30756.6</v>
      </c>
      <c r="AL367" s="55">
        <v>0</v>
      </c>
      <c r="AM367" s="55">
        <f>IF(O367="返现",AK367/(1+AG367),AK367/(1+P367+AG367))</f>
        <v>21638.24398480371</v>
      </c>
      <c r="AN367" s="99"/>
    </row>
    <row r="368" spans="1:40" hidden="1" x14ac:dyDescent="0.25">
      <c r="A368" s="123" t="s">
        <v>293</v>
      </c>
      <c r="B368" s="79" t="s">
        <v>71</v>
      </c>
      <c r="C368" s="79" t="s">
        <v>82</v>
      </c>
      <c r="D368" s="79" t="s">
        <v>83</v>
      </c>
      <c r="E368" s="79" t="s">
        <v>280</v>
      </c>
      <c r="F368" s="79" t="s">
        <v>281</v>
      </c>
      <c r="G368" s="79" t="s">
        <v>76</v>
      </c>
      <c r="H368" s="79" t="s">
        <v>77</v>
      </c>
      <c r="I368" s="79" t="s">
        <v>78</v>
      </c>
      <c r="J368" s="79" t="s">
        <v>78</v>
      </c>
      <c r="K368" s="79" t="s">
        <v>3</v>
      </c>
      <c r="L368" s="79" t="s">
        <v>282</v>
      </c>
      <c r="M368" s="79"/>
      <c r="N368" s="79" t="s">
        <v>126</v>
      </c>
      <c r="O368" s="79" t="s">
        <v>94</v>
      </c>
      <c r="P368" s="80">
        <v>4.1399999999999999E-2</v>
      </c>
      <c r="Q368" s="79"/>
      <c r="R368" s="79"/>
      <c r="S368" s="55">
        <v>0</v>
      </c>
      <c r="T368" s="55">
        <v>252173.91</v>
      </c>
      <c r="U368" s="55">
        <v>46911.179999999898</v>
      </c>
      <c r="V368" s="55">
        <f t="shared" si="78"/>
        <v>205262.7300000001</v>
      </c>
      <c r="W368" s="55">
        <f>IF(O368="返现",U368,U368*(1+AG368)/(1+P368+AG368))</f>
        <v>45544.8349514562</v>
      </c>
      <c r="X368" s="79"/>
      <c r="Y368" s="50">
        <f t="shared" si="66"/>
        <v>0</v>
      </c>
      <c r="Z368" s="50">
        <f t="shared" si="67"/>
        <v>45544.8349514562</v>
      </c>
      <c r="AA368" s="55">
        <f t="shared" si="77"/>
        <v>1366.3450485436988</v>
      </c>
      <c r="AB368" s="124">
        <f>U368</f>
        <v>46911.179999999898</v>
      </c>
      <c r="AC368" s="80">
        <v>0.05</v>
      </c>
      <c r="AD368" s="79"/>
      <c r="AE368" s="55"/>
      <c r="AF368" s="55"/>
      <c r="AG368" s="80">
        <v>0.38</v>
      </c>
      <c r="AH368" s="55">
        <f t="shared" si="79"/>
        <v>212783.44927536231</v>
      </c>
      <c r="AI368" s="55">
        <v>0</v>
      </c>
      <c r="AJ368" s="55">
        <f t="shared" si="80"/>
        <v>95826.085800000001</v>
      </c>
      <c r="AK368" s="55">
        <v>293641.15999999997</v>
      </c>
      <c r="AL368" s="55">
        <f t="shared" ref="AL368:AL399" si="81">AI368+AJ368-AK368+U368</f>
        <v>-150903.89420000007</v>
      </c>
      <c r="AM368" s="55">
        <f>IF(O368="返现",AK368/(1+AG368),AK368/(1+P368+AG368))</f>
        <v>206585.873082876</v>
      </c>
      <c r="AN368" s="99"/>
    </row>
    <row r="369" spans="1:40" hidden="1" x14ac:dyDescent="0.25">
      <c r="A369" s="123" t="s">
        <v>293</v>
      </c>
      <c r="B369" s="79" t="s">
        <v>3</v>
      </c>
      <c r="C369" s="79" t="s">
        <v>82</v>
      </c>
      <c r="D369" s="79" t="s">
        <v>83</v>
      </c>
      <c r="E369" s="79" t="s">
        <v>247</v>
      </c>
      <c r="F369" s="79" t="s">
        <v>247</v>
      </c>
      <c r="G369" s="79" t="s">
        <v>247</v>
      </c>
      <c r="H369" s="79" t="s">
        <v>77</v>
      </c>
      <c r="I369" s="79" t="s">
        <v>78</v>
      </c>
      <c r="J369" s="79" t="s">
        <v>78</v>
      </c>
      <c r="K369" s="79" t="s">
        <v>3</v>
      </c>
      <c r="L369" s="79" t="s">
        <v>88</v>
      </c>
      <c r="M369" s="79"/>
      <c r="N369" s="79" t="s">
        <v>126</v>
      </c>
      <c r="O369" s="79" t="s">
        <v>81</v>
      </c>
      <c r="P369" s="80">
        <v>0</v>
      </c>
      <c r="Q369" s="79"/>
      <c r="R369" s="79"/>
      <c r="S369" s="55">
        <v>0</v>
      </c>
      <c r="T369" s="55">
        <v>39866.129999999997</v>
      </c>
      <c r="U369" s="55">
        <v>39868.019999999997</v>
      </c>
      <c r="V369" s="55">
        <f t="shared" si="78"/>
        <v>-1.8899999999994179</v>
      </c>
      <c r="W369" s="55">
        <v>297427</v>
      </c>
      <c r="X369" s="55">
        <v>0</v>
      </c>
      <c r="Y369" s="50">
        <f t="shared" si="66"/>
        <v>257558.98</v>
      </c>
      <c r="Z369" s="50">
        <f t="shared" si="67"/>
        <v>297427</v>
      </c>
      <c r="AA369" s="55">
        <f t="shared" si="77"/>
        <v>-257558.98</v>
      </c>
      <c r="AB369" s="124">
        <f>U369</f>
        <v>39868.019999999997</v>
      </c>
      <c r="AC369" s="80">
        <v>0.05</v>
      </c>
      <c r="AD369" s="79"/>
      <c r="AE369" s="55"/>
      <c r="AF369" s="55"/>
      <c r="AG369" s="80">
        <v>0.24</v>
      </c>
      <c r="AH369" s="55">
        <f t="shared" si="79"/>
        <v>39866.129032258068</v>
      </c>
      <c r="AI369" s="55">
        <v>95867.04</v>
      </c>
      <c r="AJ369" s="55">
        <f t="shared" si="80"/>
        <v>9567.8711999999996</v>
      </c>
      <c r="AK369" s="55">
        <v>49434</v>
      </c>
      <c r="AL369" s="55">
        <f t="shared" si="81"/>
        <v>95868.931199999992</v>
      </c>
      <c r="AM369" s="55">
        <v>297427</v>
      </c>
      <c r="AN369" s="99">
        <f>AM369-W369</f>
        <v>0</v>
      </c>
    </row>
    <row r="370" spans="1:40" hidden="1" x14ac:dyDescent="0.25">
      <c r="A370" s="123" t="s">
        <v>293</v>
      </c>
      <c r="B370" s="79" t="s">
        <v>3</v>
      </c>
      <c r="C370" s="79" t="s">
        <v>82</v>
      </c>
      <c r="D370" s="79" t="s">
        <v>83</v>
      </c>
      <c r="E370" s="79" t="s">
        <v>88</v>
      </c>
      <c r="F370" s="79" t="s">
        <v>88</v>
      </c>
      <c r="G370" s="79" t="s">
        <v>88</v>
      </c>
      <c r="H370" s="79" t="s">
        <v>77</v>
      </c>
      <c r="I370" s="79" t="s">
        <v>78</v>
      </c>
      <c r="J370" s="79" t="s">
        <v>78</v>
      </c>
      <c r="K370" s="79" t="s">
        <v>3</v>
      </c>
      <c r="L370" s="79" t="s">
        <v>88</v>
      </c>
      <c r="M370" s="79"/>
      <c r="N370" s="79" t="s">
        <v>86</v>
      </c>
      <c r="O370" s="79" t="s">
        <v>81</v>
      </c>
      <c r="P370" s="80">
        <v>0</v>
      </c>
      <c r="Q370" s="79"/>
      <c r="R370" s="79"/>
      <c r="S370" s="55">
        <v>936116.05999999703</v>
      </c>
      <c r="T370" s="55">
        <v>1033830.44</v>
      </c>
      <c r="U370" s="55">
        <v>884155.35</v>
      </c>
      <c r="V370" s="55">
        <f t="shared" si="78"/>
        <v>1085791.1499999971</v>
      </c>
      <c r="W370" s="55">
        <v>1733830.44</v>
      </c>
      <c r="X370" s="55">
        <v>104029.826603774</v>
      </c>
      <c r="Y370" s="50">
        <f t="shared" si="66"/>
        <v>700000</v>
      </c>
      <c r="Z370" s="50">
        <f t="shared" si="67"/>
        <v>1837860.2666037739</v>
      </c>
      <c r="AA370" s="55">
        <f t="shared" si="77"/>
        <v>-849675.09</v>
      </c>
      <c r="AB370" s="124">
        <v>1033830.44</v>
      </c>
      <c r="AC370" s="80">
        <v>0.05</v>
      </c>
      <c r="AD370" s="79"/>
      <c r="AE370" s="55"/>
      <c r="AF370" s="55"/>
      <c r="AG370" s="80">
        <v>0.3</v>
      </c>
      <c r="AH370" s="55">
        <f t="shared" si="79"/>
        <v>884201.23076923087</v>
      </c>
      <c r="AI370" s="55">
        <v>1130364.6700000099</v>
      </c>
      <c r="AJ370" s="55">
        <f t="shared" si="80"/>
        <v>310149.13199999998</v>
      </c>
      <c r="AK370" s="55">
        <v>1149461.6000000001</v>
      </c>
      <c r="AL370" s="55">
        <f t="shared" si="81"/>
        <v>1175207.5520000099</v>
      </c>
      <c r="AM370" s="55">
        <v>1733830.44</v>
      </c>
      <c r="AN370" s="99">
        <f>AM370-W370</f>
        <v>0</v>
      </c>
    </row>
    <row r="371" spans="1:40" hidden="1" x14ac:dyDescent="0.25">
      <c r="A371" s="123" t="s">
        <v>293</v>
      </c>
      <c r="B371" s="79" t="s">
        <v>71</v>
      </c>
      <c r="C371" s="79" t="s">
        <v>82</v>
      </c>
      <c r="D371" s="79" t="s">
        <v>83</v>
      </c>
      <c r="E371" s="79" t="s">
        <v>277</v>
      </c>
      <c r="F371" s="79" t="s">
        <v>278</v>
      </c>
      <c r="G371" s="79" t="s">
        <v>76</v>
      </c>
      <c r="H371" s="79" t="s">
        <v>77</v>
      </c>
      <c r="I371" s="79" t="s">
        <v>78</v>
      </c>
      <c r="J371" s="79" t="s">
        <v>78</v>
      </c>
      <c r="K371" s="79" t="s">
        <v>3</v>
      </c>
      <c r="L371" s="79" t="s">
        <v>279</v>
      </c>
      <c r="M371" s="79"/>
      <c r="N371" s="79" t="s">
        <v>86</v>
      </c>
      <c r="O371" s="79" t="s">
        <v>94</v>
      </c>
      <c r="P371" s="80">
        <v>3.8399999999999997E-2</v>
      </c>
      <c r="Q371" s="79"/>
      <c r="R371" s="79"/>
      <c r="S371" s="55">
        <v>0</v>
      </c>
      <c r="T371" s="55"/>
      <c r="U371" s="55">
        <v>0</v>
      </c>
      <c r="V371" s="55">
        <f t="shared" si="78"/>
        <v>0</v>
      </c>
      <c r="W371" s="55">
        <f t="shared" ref="W371:W402" si="82">IF(O371="返现",U371,U371*(1+AG371)/(1+P371+AG371))</f>
        <v>0</v>
      </c>
      <c r="X371" s="125"/>
      <c r="Y371" s="50">
        <f t="shared" si="66"/>
        <v>0</v>
      </c>
      <c r="Z371" s="50">
        <f t="shared" si="67"/>
        <v>0</v>
      </c>
      <c r="AA371" s="55">
        <f t="shared" si="77"/>
        <v>0</v>
      </c>
      <c r="AB371" s="124">
        <f t="shared" ref="AB371:AB402" si="83">U371</f>
        <v>0</v>
      </c>
      <c r="AC371" s="80">
        <v>0.05</v>
      </c>
      <c r="AD371" s="125"/>
      <c r="AE371" s="79"/>
      <c r="AF371" s="79"/>
      <c r="AG371" s="80">
        <v>0.28000000000000003</v>
      </c>
      <c r="AH371" s="55">
        <f t="shared" si="79"/>
        <v>0</v>
      </c>
      <c r="AI371" s="125">
        <v>0</v>
      </c>
      <c r="AJ371" s="55">
        <f t="shared" si="80"/>
        <v>0</v>
      </c>
      <c r="AK371" s="55">
        <v>0</v>
      </c>
      <c r="AL371" s="55">
        <f t="shared" si="81"/>
        <v>0</v>
      </c>
      <c r="AM371" s="55">
        <f t="shared" ref="AM371:AM402" si="84">IF(O371="返现",AK371/(1+AG371),AK371/(1+P371+AG371))</f>
        <v>0</v>
      </c>
      <c r="AN371" s="74"/>
    </row>
    <row r="372" spans="1:40" hidden="1" x14ac:dyDescent="0.25">
      <c r="A372" s="123" t="s">
        <v>293</v>
      </c>
      <c r="B372" s="79" t="s">
        <v>71</v>
      </c>
      <c r="C372" s="79" t="s">
        <v>82</v>
      </c>
      <c r="D372" s="79" t="s">
        <v>83</v>
      </c>
      <c r="E372" s="79" t="s">
        <v>280</v>
      </c>
      <c r="F372" s="79" t="s">
        <v>281</v>
      </c>
      <c r="G372" s="79" t="s">
        <v>76</v>
      </c>
      <c r="H372" s="79" t="s">
        <v>77</v>
      </c>
      <c r="I372" s="79" t="s">
        <v>78</v>
      </c>
      <c r="J372" s="79" t="s">
        <v>78</v>
      </c>
      <c r="K372" s="79" t="s">
        <v>3</v>
      </c>
      <c r="L372" s="79" t="s">
        <v>282</v>
      </c>
      <c r="M372" s="79"/>
      <c r="N372" s="79" t="s">
        <v>126</v>
      </c>
      <c r="O372" s="79" t="s">
        <v>94</v>
      </c>
      <c r="P372" s="80">
        <v>4.1399999999999999E-2</v>
      </c>
      <c r="Q372" s="79"/>
      <c r="R372" s="79"/>
      <c r="S372" s="55">
        <v>280694.07</v>
      </c>
      <c r="T372" s="55"/>
      <c r="U372" s="55">
        <v>280694.07</v>
      </c>
      <c r="V372" s="55">
        <f t="shared" si="78"/>
        <v>0</v>
      </c>
      <c r="W372" s="55">
        <f t="shared" si="82"/>
        <v>272518.5145631067</v>
      </c>
      <c r="X372" s="125"/>
      <c r="Y372" s="50">
        <f t="shared" si="66"/>
        <v>0</v>
      </c>
      <c r="Z372" s="50">
        <f t="shared" si="67"/>
        <v>272518.5145631067</v>
      </c>
      <c r="AA372" s="55">
        <f t="shared" si="77"/>
        <v>8175.5554368933081</v>
      </c>
      <c r="AB372" s="124">
        <f t="shared" si="83"/>
        <v>280694.07</v>
      </c>
      <c r="AC372" s="80">
        <v>0.05</v>
      </c>
      <c r="AD372" s="125"/>
      <c r="AE372" s="79"/>
      <c r="AF372" s="79"/>
      <c r="AG372" s="80">
        <v>0.38</v>
      </c>
      <c r="AH372" s="55">
        <f t="shared" si="79"/>
        <v>203401.50000000003</v>
      </c>
      <c r="AI372" s="125">
        <v>0</v>
      </c>
      <c r="AJ372" s="55">
        <f t="shared" si="80"/>
        <v>0</v>
      </c>
      <c r="AK372" s="55">
        <v>280694.07</v>
      </c>
      <c r="AL372" s="55">
        <f t="shared" si="81"/>
        <v>0</v>
      </c>
      <c r="AM372" s="55">
        <f t="shared" si="84"/>
        <v>197477.18446601939</v>
      </c>
      <c r="AN372" s="99"/>
    </row>
    <row r="373" spans="1:40" hidden="1" x14ac:dyDescent="0.25">
      <c r="A373" s="123" t="s">
        <v>293</v>
      </c>
      <c r="B373" s="79" t="s">
        <v>3</v>
      </c>
      <c r="C373" s="79" t="s">
        <v>82</v>
      </c>
      <c r="D373" s="79" t="s">
        <v>83</v>
      </c>
      <c r="E373" s="79" t="s">
        <v>248</v>
      </c>
      <c r="F373" s="79" t="s">
        <v>248</v>
      </c>
      <c r="G373" s="79" t="s">
        <v>248</v>
      </c>
      <c r="H373" s="79" t="s">
        <v>77</v>
      </c>
      <c r="I373" s="79" t="s">
        <v>78</v>
      </c>
      <c r="J373" s="79" t="s">
        <v>78</v>
      </c>
      <c r="K373" s="79" t="s">
        <v>3</v>
      </c>
      <c r="L373" s="79" t="s">
        <v>88</v>
      </c>
      <c r="M373" s="79"/>
      <c r="N373" s="79" t="s">
        <v>86</v>
      </c>
      <c r="O373" s="79" t="s">
        <v>249</v>
      </c>
      <c r="P373" s="78">
        <v>0.98</v>
      </c>
      <c r="Q373" s="79"/>
      <c r="R373" s="79"/>
      <c r="S373" s="55">
        <v>0.35000000003492499</v>
      </c>
      <c r="T373" s="55"/>
      <c r="U373" s="55">
        <v>0</v>
      </c>
      <c r="V373" s="55">
        <f t="shared" si="78"/>
        <v>0.35000000003492499</v>
      </c>
      <c r="W373" s="55">
        <f t="shared" si="82"/>
        <v>0</v>
      </c>
      <c r="X373" s="125"/>
      <c r="Y373" s="50">
        <f t="shared" si="66"/>
        <v>0</v>
      </c>
      <c r="Z373" s="50">
        <f t="shared" si="67"/>
        <v>0</v>
      </c>
      <c r="AA373" s="55">
        <f t="shared" si="77"/>
        <v>0</v>
      </c>
      <c r="AB373" s="124">
        <f t="shared" si="83"/>
        <v>0</v>
      </c>
      <c r="AC373" s="80">
        <v>0.05</v>
      </c>
      <c r="AD373" s="125"/>
      <c r="AE373" s="79"/>
      <c r="AF373" s="79"/>
      <c r="AG373" s="78">
        <v>0.3</v>
      </c>
      <c r="AH373" s="55">
        <f t="shared" si="79"/>
        <v>0</v>
      </c>
      <c r="AI373" s="125">
        <v>45950.67</v>
      </c>
      <c r="AJ373" s="55">
        <f t="shared" si="80"/>
        <v>0</v>
      </c>
      <c r="AK373" s="55">
        <v>0</v>
      </c>
      <c r="AL373" s="55">
        <f t="shared" si="81"/>
        <v>45950.67</v>
      </c>
      <c r="AM373" s="55">
        <f t="shared" si="84"/>
        <v>0</v>
      </c>
      <c r="AN373" s="74"/>
    </row>
    <row r="374" spans="1:40" hidden="1" x14ac:dyDescent="0.25">
      <c r="A374" s="123" t="s">
        <v>293</v>
      </c>
      <c r="B374" s="79" t="s">
        <v>71</v>
      </c>
      <c r="C374" s="79" t="s">
        <v>193</v>
      </c>
      <c r="D374" s="79" t="s">
        <v>194</v>
      </c>
      <c r="E374" s="79" t="s">
        <v>195</v>
      </c>
      <c r="F374" s="79" t="s">
        <v>196</v>
      </c>
      <c r="G374" s="79" t="s">
        <v>76</v>
      </c>
      <c r="H374" s="79" t="s">
        <v>77</v>
      </c>
      <c r="I374" s="79" t="s">
        <v>78</v>
      </c>
      <c r="J374" s="79" t="s">
        <v>78</v>
      </c>
      <c r="K374" s="79" t="s">
        <v>3</v>
      </c>
      <c r="L374" s="79" t="s">
        <v>197</v>
      </c>
      <c r="M374" s="79"/>
      <c r="N374" s="79" t="s">
        <v>80</v>
      </c>
      <c r="O374" s="79" t="s">
        <v>81</v>
      </c>
      <c r="P374" s="78">
        <v>0</v>
      </c>
      <c r="Q374" s="79"/>
      <c r="R374" s="79"/>
      <c r="S374" s="55">
        <v>2956.69</v>
      </c>
      <c r="T374" s="55"/>
      <c r="U374" s="55">
        <v>0</v>
      </c>
      <c r="V374" s="55">
        <f t="shared" si="78"/>
        <v>2956.69</v>
      </c>
      <c r="W374" s="55">
        <f t="shared" si="82"/>
        <v>0</v>
      </c>
      <c r="X374" s="125"/>
      <c r="Y374" s="50">
        <f t="shared" si="66"/>
        <v>0</v>
      </c>
      <c r="Z374" s="50">
        <f t="shared" si="67"/>
        <v>0</v>
      </c>
      <c r="AA374" s="55">
        <f t="shared" si="77"/>
        <v>0</v>
      </c>
      <c r="AB374" s="124">
        <f t="shared" si="83"/>
        <v>0</v>
      </c>
      <c r="AC374" s="80">
        <v>0.05</v>
      </c>
      <c r="AD374" s="125"/>
      <c r="AE374" s="79"/>
      <c r="AF374" s="79"/>
      <c r="AG374" s="78">
        <v>0.42</v>
      </c>
      <c r="AH374" s="55">
        <f t="shared" si="79"/>
        <v>0</v>
      </c>
      <c r="AI374" s="125">
        <v>0</v>
      </c>
      <c r="AJ374" s="55">
        <f t="shared" si="80"/>
        <v>0</v>
      </c>
      <c r="AK374" s="55">
        <v>0</v>
      </c>
      <c r="AL374" s="55">
        <f t="shared" si="81"/>
        <v>0</v>
      </c>
      <c r="AM374" s="55">
        <f t="shared" si="84"/>
        <v>0</v>
      </c>
      <c r="AN374" s="74"/>
    </row>
    <row r="375" spans="1:40" hidden="1" x14ac:dyDescent="0.25">
      <c r="A375" s="123" t="s">
        <v>293</v>
      </c>
      <c r="B375" s="79" t="s">
        <v>71</v>
      </c>
      <c r="C375" s="79" t="s">
        <v>100</v>
      </c>
      <c r="D375" s="79" t="s">
        <v>101</v>
      </c>
      <c r="E375" s="79" t="s">
        <v>112</v>
      </c>
      <c r="F375" s="79" t="s">
        <v>113</v>
      </c>
      <c r="G375" s="79" t="s">
        <v>76</v>
      </c>
      <c r="H375" s="79" t="s">
        <v>77</v>
      </c>
      <c r="I375" s="79" t="s">
        <v>78</v>
      </c>
      <c r="J375" s="79" t="s">
        <v>78</v>
      </c>
      <c r="K375" s="79" t="s">
        <v>3</v>
      </c>
      <c r="L375" s="79" t="s">
        <v>112</v>
      </c>
      <c r="M375" s="79"/>
      <c r="N375" s="79" t="s">
        <v>86</v>
      </c>
      <c r="O375" s="79" t="s">
        <v>81</v>
      </c>
      <c r="P375" s="78">
        <v>0</v>
      </c>
      <c r="Q375" s="79"/>
      <c r="R375" s="79"/>
      <c r="S375" s="55">
        <v>68893.850000000006</v>
      </c>
      <c r="T375" s="55"/>
      <c r="U375" s="55">
        <v>0.15</v>
      </c>
      <c r="V375" s="55">
        <f t="shared" si="78"/>
        <v>68893.700000000012</v>
      </c>
      <c r="W375" s="55">
        <f t="shared" si="82"/>
        <v>0.15</v>
      </c>
      <c r="X375" s="125"/>
      <c r="Y375" s="50">
        <f t="shared" si="66"/>
        <v>0</v>
      </c>
      <c r="Z375" s="50">
        <f t="shared" si="67"/>
        <v>0.15</v>
      </c>
      <c r="AA375" s="55">
        <f t="shared" si="77"/>
        <v>0</v>
      </c>
      <c r="AB375" s="124">
        <f t="shared" si="83"/>
        <v>0.15</v>
      </c>
      <c r="AC375" s="80">
        <v>0.05</v>
      </c>
      <c r="AD375" s="125"/>
      <c r="AE375" s="79"/>
      <c r="AF375" s="79"/>
      <c r="AG375" s="78">
        <v>0</v>
      </c>
      <c r="AH375" s="55">
        <f t="shared" si="79"/>
        <v>0.15</v>
      </c>
      <c r="AI375" s="125">
        <v>0</v>
      </c>
      <c r="AJ375" s="55">
        <f t="shared" si="80"/>
        <v>0</v>
      </c>
      <c r="AK375" s="55">
        <v>0.15</v>
      </c>
      <c r="AL375" s="55">
        <f t="shared" si="81"/>
        <v>0</v>
      </c>
      <c r="AM375" s="55">
        <f t="shared" si="84"/>
        <v>0.15</v>
      </c>
      <c r="AN375" s="99"/>
    </row>
    <row r="376" spans="1:40" hidden="1" x14ac:dyDescent="0.25">
      <c r="A376" s="123" t="s">
        <v>293</v>
      </c>
      <c r="B376" s="79" t="s">
        <v>71</v>
      </c>
      <c r="C376" s="79" t="s">
        <v>90</v>
      </c>
      <c r="D376" s="79" t="s">
        <v>105</v>
      </c>
      <c r="E376" s="79" t="s">
        <v>106</v>
      </c>
      <c r="F376" s="79" t="s">
        <v>107</v>
      </c>
      <c r="G376" s="79" t="s">
        <v>76</v>
      </c>
      <c r="H376" s="79" t="s">
        <v>77</v>
      </c>
      <c r="I376" s="79" t="s">
        <v>78</v>
      </c>
      <c r="J376" s="79" t="s">
        <v>78</v>
      </c>
      <c r="K376" s="79" t="s">
        <v>3</v>
      </c>
      <c r="L376" s="79" t="s">
        <v>106</v>
      </c>
      <c r="M376" s="79"/>
      <c r="N376" s="79" t="s">
        <v>80</v>
      </c>
      <c r="O376" s="79" t="s">
        <v>81</v>
      </c>
      <c r="P376" s="78">
        <v>0</v>
      </c>
      <c r="Q376" s="79"/>
      <c r="R376" s="79"/>
      <c r="S376" s="55">
        <v>7741.65</v>
      </c>
      <c r="T376" s="55"/>
      <c r="U376" s="55">
        <v>0</v>
      </c>
      <c r="V376" s="55">
        <f t="shared" si="78"/>
        <v>7741.65</v>
      </c>
      <c r="W376" s="55">
        <f t="shared" si="82"/>
        <v>0</v>
      </c>
      <c r="X376" s="125"/>
      <c r="Y376" s="50">
        <f t="shared" si="66"/>
        <v>0</v>
      </c>
      <c r="Z376" s="50">
        <f t="shared" si="67"/>
        <v>0</v>
      </c>
      <c r="AA376" s="55">
        <f t="shared" si="77"/>
        <v>0</v>
      </c>
      <c r="AB376" s="124">
        <f t="shared" si="83"/>
        <v>0</v>
      </c>
      <c r="AC376" s="80">
        <v>0.05</v>
      </c>
      <c r="AD376" s="125"/>
      <c r="AE376" s="79"/>
      <c r="AF376" s="79"/>
      <c r="AG376" s="78">
        <v>0.42</v>
      </c>
      <c r="AH376" s="55">
        <f t="shared" si="79"/>
        <v>0</v>
      </c>
      <c r="AI376" s="125">
        <v>0</v>
      </c>
      <c r="AJ376" s="55">
        <f t="shared" si="80"/>
        <v>0</v>
      </c>
      <c r="AK376" s="55">
        <v>0</v>
      </c>
      <c r="AL376" s="55">
        <f t="shared" si="81"/>
        <v>0</v>
      </c>
      <c r="AM376" s="55">
        <f t="shared" si="84"/>
        <v>0</v>
      </c>
      <c r="AN376" s="74"/>
    </row>
    <row r="377" spans="1:40" hidden="1" x14ac:dyDescent="0.25">
      <c r="A377" s="123" t="s">
        <v>293</v>
      </c>
      <c r="B377" s="79" t="s">
        <v>71</v>
      </c>
      <c r="C377" s="79" t="s">
        <v>90</v>
      </c>
      <c r="D377" s="79" t="s">
        <v>91</v>
      </c>
      <c r="E377" s="79" t="s">
        <v>92</v>
      </c>
      <c r="F377" s="79" t="s">
        <v>93</v>
      </c>
      <c r="G377" s="79" t="s">
        <v>76</v>
      </c>
      <c r="H377" s="79" t="s">
        <v>77</v>
      </c>
      <c r="I377" s="79" t="s">
        <v>78</v>
      </c>
      <c r="J377" s="79" t="s">
        <v>78</v>
      </c>
      <c r="K377" s="79" t="s">
        <v>3</v>
      </c>
      <c r="L377" s="79" t="s">
        <v>92</v>
      </c>
      <c r="M377" s="79"/>
      <c r="N377" s="79" t="s">
        <v>86</v>
      </c>
      <c r="O377" s="79" t="s">
        <v>81</v>
      </c>
      <c r="P377" s="78">
        <v>0</v>
      </c>
      <c r="Q377" s="79"/>
      <c r="R377" s="79"/>
      <c r="S377" s="55">
        <v>7.0399999999990497</v>
      </c>
      <c r="T377" s="55"/>
      <c r="U377" s="55">
        <v>0</v>
      </c>
      <c r="V377" s="55">
        <f t="shared" si="78"/>
        <v>7.0399999999990497</v>
      </c>
      <c r="W377" s="55">
        <f t="shared" si="82"/>
        <v>0</v>
      </c>
      <c r="X377" s="125"/>
      <c r="Y377" s="50">
        <f t="shared" si="66"/>
        <v>0</v>
      </c>
      <c r="Z377" s="50">
        <f t="shared" si="67"/>
        <v>0</v>
      </c>
      <c r="AA377" s="55">
        <f t="shared" si="77"/>
        <v>0</v>
      </c>
      <c r="AB377" s="124">
        <f t="shared" si="83"/>
        <v>0</v>
      </c>
      <c r="AC377" s="80">
        <v>0.05</v>
      </c>
      <c r="AD377" s="125"/>
      <c r="AE377" s="79"/>
      <c r="AF377" s="79"/>
      <c r="AG377" s="78">
        <v>0</v>
      </c>
      <c r="AH377" s="55">
        <f t="shared" si="79"/>
        <v>0</v>
      </c>
      <c r="AI377" s="125">
        <v>0</v>
      </c>
      <c r="AJ377" s="55">
        <f t="shared" si="80"/>
        <v>0</v>
      </c>
      <c r="AK377" s="55">
        <v>0</v>
      </c>
      <c r="AL377" s="55">
        <f t="shared" si="81"/>
        <v>0</v>
      </c>
      <c r="AM377" s="55">
        <f t="shared" si="84"/>
        <v>0</v>
      </c>
      <c r="AN377" s="74"/>
    </row>
    <row r="378" spans="1:40" hidden="1" x14ac:dyDescent="0.25">
      <c r="A378" s="123" t="s">
        <v>293</v>
      </c>
      <c r="B378" s="79" t="s">
        <v>71</v>
      </c>
      <c r="C378" s="79" t="s">
        <v>90</v>
      </c>
      <c r="D378" s="79" t="s">
        <v>91</v>
      </c>
      <c r="E378" s="79" t="s">
        <v>103</v>
      </c>
      <c r="F378" s="79" t="s">
        <v>104</v>
      </c>
      <c r="G378" s="79" t="s">
        <v>76</v>
      </c>
      <c r="H378" s="79" t="s">
        <v>77</v>
      </c>
      <c r="I378" s="79" t="s">
        <v>78</v>
      </c>
      <c r="J378" s="79" t="s">
        <v>78</v>
      </c>
      <c r="K378" s="79" t="s">
        <v>3</v>
      </c>
      <c r="L378" s="79" t="s">
        <v>103</v>
      </c>
      <c r="M378" s="79"/>
      <c r="N378" s="79" t="s">
        <v>86</v>
      </c>
      <c r="O378" s="79" t="s">
        <v>94</v>
      </c>
      <c r="P378" s="78">
        <v>0.02</v>
      </c>
      <c r="Q378" s="79"/>
      <c r="R378" s="79"/>
      <c r="S378" s="55">
        <v>106099.63</v>
      </c>
      <c r="T378" s="55"/>
      <c r="U378" s="55">
        <v>0</v>
      </c>
      <c r="V378" s="55">
        <f t="shared" si="78"/>
        <v>106099.63</v>
      </c>
      <c r="W378" s="55">
        <f t="shared" si="82"/>
        <v>0</v>
      </c>
      <c r="X378" s="125"/>
      <c r="Y378" s="50">
        <f t="shared" si="66"/>
        <v>0</v>
      </c>
      <c r="Z378" s="50">
        <f t="shared" si="67"/>
        <v>0</v>
      </c>
      <c r="AA378" s="55">
        <f t="shared" si="77"/>
        <v>0</v>
      </c>
      <c r="AB378" s="124">
        <f t="shared" si="83"/>
        <v>0</v>
      </c>
      <c r="AC378" s="80">
        <v>0.05</v>
      </c>
      <c r="AD378" s="125"/>
      <c r="AE378" s="79"/>
      <c r="AF378" s="79"/>
      <c r="AG378" s="78">
        <v>0.42</v>
      </c>
      <c r="AH378" s="55">
        <f t="shared" si="79"/>
        <v>0</v>
      </c>
      <c r="AI378" s="125">
        <v>0</v>
      </c>
      <c r="AJ378" s="55">
        <f t="shared" si="80"/>
        <v>0</v>
      </c>
      <c r="AK378" s="55">
        <v>0</v>
      </c>
      <c r="AL378" s="55">
        <f t="shared" si="81"/>
        <v>0</v>
      </c>
      <c r="AM378" s="55">
        <f t="shared" si="84"/>
        <v>0</v>
      </c>
      <c r="AN378" s="74"/>
    </row>
    <row r="379" spans="1:40" hidden="1" x14ac:dyDescent="0.25">
      <c r="A379" s="123" t="s">
        <v>293</v>
      </c>
      <c r="B379" s="79" t="s">
        <v>71</v>
      </c>
      <c r="C379" s="79" t="s">
        <v>72</v>
      </c>
      <c r="D379" s="79" t="s">
        <v>122</v>
      </c>
      <c r="E379" s="79" t="s">
        <v>123</v>
      </c>
      <c r="F379" s="79" t="s">
        <v>124</v>
      </c>
      <c r="G379" s="79" t="s">
        <v>76</v>
      </c>
      <c r="H379" s="79" t="s">
        <v>77</v>
      </c>
      <c r="I379" s="79" t="s">
        <v>78</v>
      </c>
      <c r="J379" s="79" t="s">
        <v>78</v>
      </c>
      <c r="K379" s="79" t="s">
        <v>3</v>
      </c>
      <c r="L379" s="79" t="s">
        <v>125</v>
      </c>
      <c r="M379" s="79"/>
      <c r="N379" s="79" t="s">
        <v>126</v>
      </c>
      <c r="O379" s="79" t="s">
        <v>94</v>
      </c>
      <c r="P379" s="78">
        <v>0.18</v>
      </c>
      <c r="Q379" s="79"/>
      <c r="R379" s="79"/>
      <c r="S379" s="55">
        <v>58883.77</v>
      </c>
      <c r="T379" s="55"/>
      <c r="U379" s="55">
        <v>2165.64</v>
      </c>
      <c r="V379" s="55">
        <f t="shared" si="78"/>
        <v>56718.13</v>
      </c>
      <c r="W379" s="55">
        <f t="shared" si="82"/>
        <v>1922.0055</v>
      </c>
      <c r="X379" s="125"/>
      <c r="Y379" s="50">
        <f t="shared" si="66"/>
        <v>0</v>
      </c>
      <c r="Z379" s="50">
        <f t="shared" si="67"/>
        <v>1922.0055</v>
      </c>
      <c r="AA379" s="55">
        <f t="shared" si="77"/>
        <v>243.63449999999989</v>
      </c>
      <c r="AB379" s="124">
        <f t="shared" si="83"/>
        <v>2165.64</v>
      </c>
      <c r="AC379" s="80">
        <v>0.05</v>
      </c>
      <c r="AD379" s="125"/>
      <c r="AE379" s="79"/>
      <c r="AF379" s="79"/>
      <c r="AG379" s="126">
        <v>0.42</v>
      </c>
      <c r="AH379" s="55">
        <f t="shared" si="79"/>
        <v>2166.1338028169016</v>
      </c>
      <c r="AI379" s="125">
        <v>-30686.25</v>
      </c>
      <c r="AJ379" s="55">
        <f t="shared" si="80"/>
        <v>0</v>
      </c>
      <c r="AK379" s="55">
        <v>3075.91</v>
      </c>
      <c r="AL379" s="55">
        <f t="shared" si="81"/>
        <v>-31596.520000000004</v>
      </c>
      <c r="AM379" s="55">
        <f t="shared" si="84"/>
        <v>1922.4437500000001</v>
      </c>
      <c r="AN379" s="99"/>
    </row>
    <row r="380" spans="1:40" hidden="1" x14ac:dyDescent="0.25">
      <c r="A380" s="123" t="s">
        <v>293</v>
      </c>
      <c r="B380" s="79" t="s">
        <v>71</v>
      </c>
      <c r="C380" s="79" t="s">
        <v>72</v>
      </c>
      <c r="D380" s="79" t="s">
        <v>73</v>
      </c>
      <c r="E380" s="79" t="s">
        <v>74</v>
      </c>
      <c r="F380" s="79" t="s">
        <v>75</v>
      </c>
      <c r="G380" s="79" t="s">
        <v>76</v>
      </c>
      <c r="H380" s="79" t="s">
        <v>77</v>
      </c>
      <c r="I380" s="79" t="s">
        <v>78</v>
      </c>
      <c r="J380" s="79" t="s">
        <v>78</v>
      </c>
      <c r="K380" s="79" t="s">
        <v>3</v>
      </c>
      <c r="L380" s="79" t="s">
        <v>74</v>
      </c>
      <c r="M380" s="79"/>
      <c r="N380" s="79" t="s">
        <v>86</v>
      </c>
      <c r="O380" s="79" t="s">
        <v>94</v>
      </c>
      <c r="P380" s="78">
        <v>0.03</v>
      </c>
      <c r="Q380" s="79"/>
      <c r="R380" s="79"/>
      <c r="S380" s="48">
        <v>15899.0800000003</v>
      </c>
      <c r="T380" s="55"/>
      <c r="U380" s="55">
        <v>10.25</v>
      </c>
      <c r="V380" s="55">
        <f t="shared" si="78"/>
        <v>15888.8300000003</v>
      </c>
      <c r="W380" s="55">
        <f t="shared" si="82"/>
        <v>9.9704545454545457</v>
      </c>
      <c r="X380" s="125"/>
      <c r="Y380" s="50">
        <f t="shared" si="66"/>
        <v>0</v>
      </c>
      <c r="Z380" s="50">
        <f t="shared" si="67"/>
        <v>9.9704545454545457</v>
      </c>
      <c r="AA380" s="55">
        <f t="shared" si="77"/>
        <v>0.27954545454545432</v>
      </c>
      <c r="AB380" s="124">
        <f t="shared" si="83"/>
        <v>10.25</v>
      </c>
      <c r="AC380" s="80">
        <v>0.05</v>
      </c>
      <c r="AD380" s="125"/>
      <c r="AE380" s="79"/>
      <c r="AF380" s="79"/>
      <c r="AG380" s="78">
        <v>7.0000000000000007E-2</v>
      </c>
      <c r="AH380" s="55">
        <f t="shared" si="79"/>
        <v>10.252336448598131</v>
      </c>
      <c r="AI380" s="125">
        <v>0</v>
      </c>
      <c r="AJ380" s="55">
        <f t="shared" si="80"/>
        <v>0</v>
      </c>
      <c r="AK380" s="55">
        <v>10.97</v>
      </c>
      <c r="AL380" s="55">
        <f t="shared" si="81"/>
        <v>-0.72000000000000064</v>
      </c>
      <c r="AM380" s="55">
        <f t="shared" si="84"/>
        <v>9.9727272727272727</v>
      </c>
      <c r="AN380" s="99"/>
    </row>
    <row r="381" spans="1:40" hidden="1" x14ac:dyDescent="0.25">
      <c r="A381" s="123" t="s">
        <v>293</v>
      </c>
      <c r="B381" s="79" t="s">
        <v>71</v>
      </c>
      <c r="C381" s="79" t="s">
        <v>72</v>
      </c>
      <c r="D381" s="79" t="s">
        <v>73</v>
      </c>
      <c r="E381" s="79" t="s">
        <v>74</v>
      </c>
      <c r="F381" s="79" t="s">
        <v>75</v>
      </c>
      <c r="G381" s="79" t="s">
        <v>76</v>
      </c>
      <c r="H381" s="79" t="s">
        <v>77</v>
      </c>
      <c r="I381" s="79" t="s">
        <v>78</v>
      </c>
      <c r="J381" s="79" t="s">
        <v>78</v>
      </c>
      <c r="K381" s="79" t="s">
        <v>3</v>
      </c>
      <c r="L381" s="79" t="s">
        <v>74</v>
      </c>
      <c r="M381" s="79"/>
      <c r="N381" s="79" t="s">
        <v>80</v>
      </c>
      <c r="O381" s="79" t="s">
        <v>94</v>
      </c>
      <c r="P381" s="78">
        <v>0.03</v>
      </c>
      <c r="Q381" s="79"/>
      <c r="R381" s="79"/>
      <c r="S381" s="48">
        <v>2383.1799999999998</v>
      </c>
      <c r="T381" s="55"/>
      <c r="U381" s="55">
        <v>0</v>
      </c>
      <c r="V381" s="55">
        <f t="shared" si="78"/>
        <v>2383.1799999999998</v>
      </c>
      <c r="W381" s="55">
        <f t="shared" si="82"/>
        <v>0</v>
      </c>
      <c r="X381" s="125"/>
      <c r="Y381" s="50">
        <f t="shared" si="66"/>
        <v>0</v>
      </c>
      <c r="Z381" s="50">
        <f t="shared" si="67"/>
        <v>0</v>
      </c>
      <c r="AA381" s="55">
        <f t="shared" si="77"/>
        <v>0</v>
      </c>
      <c r="AB381" s="124">
        <f t="shared" si="83"/>
        <v>0</v>
      </c>
      <c r="AC381" s="80">
        <v>0.05</v>
      </c>
      <c r="AD381" s="125"/>
      <c r="AE381" s="79"/>
      <c r="AF381" s="79"/>
      <c r="AG381" s="78">
        <v>7.0000000000000007E-2</v>
      </c>
      <c r="AH381" s="55">
        <f t="shared" si="79"/>
        <v>0</v>
      </c>
      <c r="AI381" s="125">
        <v>0</v>
      </c>
      <c r="AJ381" s="55">
        <f t="shared" si="80"/>
        <v>0</v>
      </c>
      <c r="AK381" s="55">
        <v>0</v>
      </c>
      <c r="AL381" s="55">
        <f t="shared" si="81"/>
        <v>0</v>
      </c>
      <c r="AM381" s="55">
        <f t="shared" si="84"/>
        <v>0</v>
      </c>
      <c r="AN381" s="74"/>
    </row>
    <row r="382" spans="1:40" hidden="1" x14ac:dyDescent="0.25">
      <c r="A382" s="123" t="s">
        <v>293</v>
      </c>
      <c r="B382" s="79" t="s">
        <v>71</v>
      </c>
      <c r="C382" s="79" t="s">
        <v>82</v>
      </c>
      <c r="D382" s="79" t="s">
        <v>117</v>
      </c>
      <c r="E382" s="79" t="s">
        <v>118</v>
      </c>
      <c r="F382" s="79" t="s">
        <v>119</v>
      </c>
      <c r="G382" s="79" t="s">
        <v>76</v>
      </c>
      <c r="H382" s="79" t="s">
        <v>77</v>
      </c>
      <c r="I382" s="79" t="s">
        <v>78</v>
      </c>
      <c r="J382" s="79" t="s">
        <v>78</v>
      </c>
      <c r="K382" s="79" t="s">
        <v>3</v>
      </c>
      <c r="L382" s="79" t="s">
        <v>120</v>
      </c>
      <c r="M382" s="79"/>
      <c r="N382" s="79" t="s">
        <v>80</v>
      </c>
      <c r="O382" s="79" t="s">
        <v>94</v>
      </c>
      <c r="P382" s="78">
        <v>0.05</v>
      </c>
      <c r="Q382" s="79"/>
      <c r="R382" s="79"/>
      <c r="S382" s="55">
        <v>1766.24</v>
      </c>
      <c r="T382" s="55"/>
      <c r="U382" s="55">
        <v>0</v>
      </c>
      <c r="V382" s="55">
        <f t="shared" si="78"/>
        <v>1766.24</v>
      </c>
      <c r="W382" s="55">
        <f t="shared" si="82"/>
        <v>0</v>
      </c>
      <c r="X382" s="125"/>
      <c r="Y382" s="50">
        <f t="shared" si="66"/>
        <v>0</v>
      </c>
      <c r="Z382" s="50">
        <f t="shared" si="67"/>
        <v>0</v>
      </c>
      <c r="AA382" s="55">
        <f t="shared" si="77"/>
        <v>0</v>
      </c>
      <c r="AB382" s="124">
        <f t="shared" si="83"/>
        <v>0</v>
      </c>
      <c r="AC382" s="80">
        <v>0.05</v>
      </c>
      <c r="AD382" s="125"/>
      <c r="AE382" s="79"/>
      <c r="AF382" s="79"/>
      <c r="AG382" s="78">
        <v>0.42</v>
      </c>
      <c r="AH382" s="55">
        <f t="shared" si="79"/>
        <v>0</v>
      </c>
      <c r="AI382" s="125">
        <v>0</v>
      </c>
      <c r="AJ382" s="55">
        <f t="shared" si="80"/>
        <v>0</v>
      </c>
      <c r="AK382" s="55">
        <v>0</v>
      </c>
      <c r="AL382" s="55">
        <f t="shared" si="81"/>
        <v>0</v>
      </c>
      <c r="AM382" s="55">
        <f t="shared" si="84"/>
        <v>0</v>
      </c>
      <c r="AN382" s="74"/>
    </row>
    <row r="383" spans="1:40" hidden="1" x14ac:dyDescent="0.25">
      <c r="A383" s="123" t="s">
        <v>293</v>
      </c>
      <c r="B383" s="79" t="s">
        <v>71</v>
      </c>
      <c r="C383" s="79" t="s">
        <v>127</v>
      </c>
      <c r="D383" s="79" t="s">
        <v>128</v>
      </c>
      <c r="E383" s="79" t="s">
        <v>129</v>
      </c>
      <c r="F383" s="79" t="s">
        <v>130</v>
      </c>
      <c r="G383" s="79" t="s">
        <v>76</v>
      </c>
      <c r="H383" s="79" t="s">
        <v>77</v>
      </c>
      <c r="I383" s="79" t="s">
        <v>78</v>
      </c>
      <c r="J383" s="79" t="s">
        <v>78</v>
      </c>
      <c r="K383" s="79" t="s">
        <v>3</v>
      </c>
      <c r="L383" s="79" t="s">
        <v>125</v>
      </c>
      <c r="M383" s="79"/>
      <c r="N383" s="79" t="s">
        <v>126</v>
      </c>
      <c r="O383" s="79" t="s">
        <v>94</v>
      </c>
      <c r="P383" s="78">
        <v>0.18</v>
      </c>
      <c r="Q383" s="79"/>
      <c r="R383" s="79"/>
      <c r="S383" s="55">
        <v>8102.9149295775096</v>
      </c>
      <c r="T383" s="55"/>
      <c r="U383" s="55">
        <v>0</v>
      </c>
      <c r="V383" s="55">
        <f t="shared" si="78"/>
        <v>8102.9149295775096</v>
      </c>
      <c r="W383" s="55">
        <f t="shared" si="82"/>
        <v>0</v>
      </c>
      <c r="X383" s="125"/>
      <c r="Y383" s="50">
        <f t="shared" si="66"/>
        <v>0</v>
      </c>
      <c r="Z383" s="50">
        <f t="shared" si="67"/>
        <v>0</v>
      </c>
      <c r="AA383" s="55">
        <f t="shared" si="77"/>
        <v>0</v>
      </c>
      <c r="AB383" s="124">
        <f t="shared" si="83"/>
        <v>0</v>
      </c>
      <c r="AC383" s="80">
        <v>0.05</v>
      </c>
      <c r="AD383" s="125"/>
      <c r="AE383" s="79"/>
      <c r="AF383" s="79"/>
      <c r="AG383" s="78">
        <v>0.42</v>
      </c>
      <c r="AH383" s="55">
        <f t="shared" si="79"/>
        <v>0</v>
      </c>
      <c r="AI383" s="125">
        <v>0</v>
      </c>
      <c r="AJ383" s="55">
        <f t="shared" si="80"/>
        <v>0</v>
      </c>
      <c r="AK383" s="55">
        <v>0</v>
      </c>
      <c r="AL383" s="55">
        <f t="shared" si="81"/>
        <v>0</v>
      </c>
      <c r="AM383" s="55">
        <f t="shared" si="84"/>
        <v>0</v>
      </c>
      <c r="AN383" s="74"/>
    </row>
    <row r="384" spans="1:40" hidden="1" x14ac:dyDescent="0.25">
      <c r="A384" s="123" t="s">
        <v>293</v>
      </c>
      <c r="B384" s="79" t="s">
        <v>71</v>
      </c>
      <c r="C384" s="79" t="s">
        <v>127</v>
      </c>
      <c r="D384" s="79" t="s">
        <v>128</v>
      </c>
      <c r="E384" s="79" t="s">
        <v>151</v>
      </c>
      <c r="F384" s="79" t="s">
        <v>152</v>
      </c>
      <c r="G384" s="79" t="s">
        <v>76</v>
      </c>
      <c r="H384" s="79" t="s">
        <v>77</v>
      </c>
      <c r="I384" s="79" t="s">
        <v>78</v>
      </c>
      <c r="J384" s="79" t="s">
        <v>78</v>
      </c>
      <c r="K384" s="79" t="s">
        <v>3</v>
      </c>
      <c r="L384" s="79" t="s">
        <v>125</v>
      </c>
      <c r="M384" s="79"/>
      <c r="N384" s="79" t="s">
        <v>126</v>
      </c>
      <c r="O384" s="79" t="s">
        <v>94</v>
      </c>
      <c r="P384" s="46">
        <v>0.23</v>
      </c>
      <c r="Q384" s="79"/>
      <c r="R384" s="79"/>
      <c r="S384" s="55">
        <v>2063.5353521120301</v>
      </c>
      <c r="T384" s="55"/>
      <c r="U384" s="55">
        <v>0</v>
      </c>
      <c r="V384" s="55">
        <f t="shared" si="78"/>
        <v>2063.5353521120301</v>
      </c>
      <c r="W384" s="55">
        <f t="shared" si="82"/>
        <v>0</v>
      </c>
      <c r="X384" s="125"/>
      <c r="Y384" s="50">
        <f t="shared" si="66"/>
        <v>0</v>
      </c>
      <c r="Z384" s="50">
        <f t="shared" si="67"/>
        <v>0</v>
      </c>
      <c r="AA384" s="55">
        <f t="shared" si="77"/>
        <v>0</v>
      </c>
      <c r="AB384" s="124">
        <f t="shared" si="83"/>
        <v>0</v>
      </c>
      <c r="AC384" s="80">
        <v>0.05</v>
      </c>
      <c r="AD384" s="125"/>
      <c r="AE384" s="79"/>
      <c r="AF384" s="79"/>
      <c r="AG384" s="78">
        <v>0.42</v>
      </c>
      <c r="AH384" s="55">
        <f t="shared" si="79"/>
        <v>0</v>
      </c>
      <c r="AI384" s="125">
        <v>0</v>
      </c>
      <c r="AJ384" s="55">
        <f t="shared" si="80"/>
        <v>0</v>
      </c>
      <c r="AK384" s="55">
        <v>0</v>
      </c>
      <c r="AL384" s="55">
        <f t="shared" si="81"/>
        <v>0</v>
      </c>
      <c r="AM384" s="55">
        <f t="shared" si="84"/>
        <v>0</v>
      </c>
      <c r="AN384" s="74"/>
    </row>
    <row r="385" spans="1:40" hidden="1" x14ac:dyDescent="0.25">
      <c r="A385" s="123" t="s">
        <v>293</v>
      </c>
      <c r="B385" s="79" t="s">
        <v>71</v>
      </c>
      <c r="C385" s="79" t="s">
        <v>127</v>
      </c>
      <c r="D385" s="79" t="s">
        <v>128</v>
      </c>
      <c r="E385" s="79" t="s">
        <v>131</v>
      </c>
      <c r="F385" s="79" t="s">
        <v>132</v>
      </c>
      <c r="G385" s="79" t="s">
        <v>76</v>
      </c>
      <c r="H385" s="79" t="s">
        <v>77</v>
      </c>
      <c r="I385" s="79" t="s">
        <v>78</v>
      </c>
      <c r="J385" s="79" t="s">
        <v>78</v>
      </c>
      <c r="K385" s="79" t="s">
        <v>3</v>
      </c>
      <c r="L385" s="79" t="s">
        <v>125</v>
      </c>
      <c r="M385" s="79"/>
      <c r="N385" s="79" t="s">
        <v>126</v>
      </c>
      <c r="O385" s="79" t="s">
        <v>94</v>
      </c>
      <c r="P385" s="78">
        <v>0.03</v>
      </c>
      <c r="Q385" s="79"/>
      <c r="R385" s="79"/>
      <c r="S385" s="55">
        <v>655.37999999978604</v>
      </c>
      <c r="T385" s="55"/>
      <c r="U385" s="55">
        <v>0</v>
      </c>
      <c r="V385" s="55">
        <f t="shared" si="78"/>
        <v>655.37999999978604</v>
      </c>
      <c r="W385" s="55">
        <f t="shared" si="82"/>
        <v>0</v>
      </c>
      <c r="X385" s="125"/>
      <c r="Y385" s="50">
        <f t="shared" si="66"/>
        <v>0</v>
      </c>
      <c r="Z385" s="50">
        <f t="shared" si="67"/>
        <v>0</v>
      </c>
      <c r="AA385" s="55">
        <f t="shared" si="77"/>
        <v>0</v>
      </c>
      <c r="AB385" s="124">
        <f t="shared" si="83"/>
        <v>0</v>
      </c>
      <c r="AC385" s="80">
        <v>0.05</v>
      </c>
      <c r="AD385" s="125"/>
      <c r="AE385" s="79"/>
      <c r="AF385" s="79"/>
      <c r="AG385" s="78">
        <v>0.42</v>
      </c>
      <c r="AH385" s="55">
        <f t="shared" si="79"/>
        <v>0</v>
      </c>
      <c r="AI385" s="125">
        <v>0</v>
      </c>
      <c r="AJ385" s="55">
        <f t="shared" si="80"/>
        <v>0</v>
      </c>
      <c r="AK385" s="55">
        <v>0</v>
      </c>
      <c r="AL385" s="55">
        <f t="shared" si="81"/>
        <v>0</v>
      </c>
      <c r="AM385" s="55">
        <f t="shared" si="84"/>
        <v>0</v>
      </c>
      <c r="AN385" s="74"/>
    </row>
    <row r="386" spans="1:40" hidden="1" x14ac:dyDescent="0.25">
      <c r="A386" s="123" t="s">
        <v>293</v>
      </c>
      <c r="B386" s="79" t="s">
        <v>71</v>
      </c>
      <c r="C386" s="79" t="s">
        <v>127</v>
      </c>
      <c r="D386" s="79" t="s">
        <v>128</v>
      </c>
      <c r="E386" s="79" t="s">
        <v>133</v>
      </c>
      <c r="F386" s="79" t="s">
        <v>134</v>
      </c>
      <c r="G386" s="79" t="s">
        <v>76</v>
      </c>
      <c r="H386" s="79" t="s">
        <v>77</v>
      </c>
      <c r="I386" s="79" t="s">
        <v>78</v>
      </c>
      <c r="J386" s="79" t="s">
        <v>78</v>
      </c>
      <c r="K386" s="79" t="s">
        <v>3</v>
      </c>
      <c r="L386" s="79" t="s">
        <v>125</v>
      </c>
      <c r="M386" s="79"/>
      <c r="N386" s="79" t="s">
        <v>126</v>
      </c>
      <c r="O386" s="79" t="s">
        <v>94</v>
      </c>
      <c r="P386" s="78">
        <v>0.22</v>
      </c>
      <c r="Q386" s="79"/>
      <c r="R386" s="79"/>
      <c r="S386" s="55">
        <v>354.84000000002601</v>
      </c>
      <c r="T386" s="55"/>
      <c r="U386" s="55">
        <v>0</v>
      </c>
      <c r="V386" s="55">
        <f t="shared" si="78"/>
        <v>354.84000000002601</v>
      </c>
      <c r="W386" s="55">
        <f t="shared" si="82"/>
        <v>0</v>
      </c>
      <c r="X386" s="125"/>
      <c r="Y386" s="50">
        <f t="shared" ref="Y386:Y449" si="85">IF(W386-AB386&lt;0,0,IF(O386="返现",MAX(W386-AA386-AB386,0),MAX(W386-AB386,0)))</f>
        <v>0</v>
      </c>
      <c r="Z386" s="50">
        <f t="shared" ref="Z386:Z449" si="86">W386+X386+AN386</f>
        <v>0</v>
      </c>
      <c r="AA386" s="55">
        <f t="shared" si="77"/>
        <v>0</v>
      </c>
      <c r="AB386" s="124">
        <f t="shared" si="83"/>
        <v>0</v>
      </c>
      <c r="AC386" s="80">
        <v>0.05</v>
      </c>
      <c r="AD386" s="125"/>
      <c r="AE386" s="79"/>
      <c r="AF386" s="79"/>
      <c r="AG386" s="78">
        <v>0.42</v>
      </c>
      <c r="AH386" s="55">
        <f t="shared" si="79"/>
        <v>0</v>
      </c>
      <c r="AI386" s="125">
        <v>0</v>
      </c>
      <c r="AJ386" s="55">
        <f t="shared" si="80"/>
        <v>0</v>
      </c>
      <c r="AK386" s="55">
        <v>0</v>
      </c>
      <c r="AL386" s="55">
        <f t="shared" si="81"/>
        <v>0</v>
      </c>
      <c r="AM386" s="55">
        <f t="shared" si="84"/>
        <v>0</v>
      </c>
      <c r="AN386" s="74"/>
    </row>
    <row r="387" spans="1:40" hidden="1" x14ac:dyDescent="0.25">
      <c r="A387" s="123" t="s">
        <v>293</v>
      </c>
      <c r="B387" s="79" t="s">
        <v>71</v>
      </c>
      <c r="C387" s="79" t="s">
        <v>127</v>
      </c>
      <c r="D387" s="79" t="s">
        <v>128</v>
      </c>
      <c r="E387" s="79" t="s">
        <v>138</v>
      </c>
      <c r="F387" s="79" t="s">
        <v>139</v>
      </c>
      <c r="G387" s="79" t="s">
        <v>76</v>
      </c>
      <c r="H387" s="79" t="s">
        <v>77</v>
      </c>
      <c r="I387" s="79" t="s">
        <v>78</v>
      </c>
      <c r="J387" s="79" t="s">
        <v>78</v>
      </c>
      <c r="K387" s="79" t="s">
        <v>3</v>
      </c>
      <c r="L387" s="79" t="s">
        <v>125</v>
      </c>
      <c r="M387" s="79"/>
      <c r="N387" s="79" t="s">
        <v>126</v>
      </c>
      <c r="O387" s="79" t="s">
        <v>94</v>
      </c>
      <c r="P387" s="78">
        <v>0.04</v>
      </c>
      <c r="Q387" s="79"/>
      <c r="R387" s="79"/>
      <c r="S387" s="55">
        <v>227.30774647876399</v>
      </c>
      <c r="T387" s="55"/>
      <c r="U387" s="55">
        <v>0</v>
      </c>
      <c r="V387" s="55">
        <f t="shared" si="78"/>
        <v>227.30774647876399</v>
      </c>
      <c r="W387" s="55">
        <f t="shared" si="82"/>
        <v>0</v>
      </c>
      <c r="X387" s="125"/>
      <c r="Y387" s="50">
        <f t="shared" si="85"/>
        <v>0</v>
      </c>
      <c r="Z387" s="50">
        <f t="shared" si="86"/>
        <v>0</v>
      </c>
      <c r="AA387" s="55">
        <f t="shared" si="77"/>
        <v>0</v>
      </c>
      <c r="AB387" s="124">
        <f t="shared" si="83"/>
        <v>0</v>
      </c>
      <c r="AC387" s="80">
        <v>0.05</v>
      </c>
      <c r="AD387" s="125"/>
      <c r="AE387" s="79"/>
      <c r="AF387" s="79"/>
      <c r="AG387" s="78">
        <v>0.42</v>
      </c>
      <c r="AH387" s="55">
        <f t="shared" si="79"/>
        <v>0</v>
      </c>
      <c r="AI387" s="125">
        <v>0</v>
      </c>
      <c r="AJ387" s="55">
        <f t="shared" si="80"/>
        <v>0</v>
      </c>
      <c r="AK387" s="55">
        <v>0</v>
      </c>
      <c r="AL387" s="55">
        <f t="shared" si="81"/>
        <v>0</v>
      </c>
      <c r="AM387" s="55">
        <f t="shared" si="84"/>
        <v>0</v>
      </c>
      <c r="AN387" s="74"/>
    </row>
    <row r="388" spans="1:40" hidden="1" x14ac:dyDescent="0.25">
      <c r="A388" s="123" t="s">
        <v>293</v>
      </c>
      <c r="B388" s="79" t="s">
        <v>71</v>
      </c>
      <c r="C388" s="79" t="s">
        <v>127</v>
      </c>
      <c r="D388" s="79" t="s">
        <v>128</v>
      </c>
      <c r="E388" s="79" t="s">
        <v>123</v>
      </c>
      <c r="F388" s="79" t="s">
        <v>140</v>
      </c>
      <c r="G388" s="79" t="s">
        <v>76</v>
      </c>
      <c r="H388" s="79" t="s">
        <v>77</v>
      </c>
      <c r="I388" s="79" t="s">
        <v>78</v>
      </c>
      <c r="J388" s="79" t="s">
        <v>78</v>
      </c>
      <c r="K388" s="79" t="s">
        <v>3</v>
      </c>
      <c r="L388" s="79" t="s">
        <v>125</v>
      </c>
      <c r="M388" s="79"/>
      <c r="N388" s="79" t="s">
        <v>126</v>
      </c>
      <c r="O388" s="79" t="s">
        <v>94</v>
      </c>
      <c r="P388" s="78">
        <v>0.23</v>
      </c>
      <c r="Q388" s="79"/>
      <c r="R388" s="79"/>
      <c r="S388" s="55">
        <v>152.264929577999</v>
      </c>
      <c r="T388" s="55"/>
      <c r="U388" s="55">
        <v>0</v>
      </c>
      <c r="V388" s="55">
        <f t="shared" si="78"/>
        <v>152.264929577999</v>
      </c>
      <c r="W388" s="55">
        <f t="shared" si="82"/>
        <v>0</v>
      </c>
      <c r="X388" s="125"/>
      <c r="Y388" s="50">
        <f t="shared" si="85"/>
        <v>0</v>
      </c>
      <c r="Z388" s="50">
        <f t="shared" si="86"/>
        <v>0</v>
      </c>
      <c r="AA388" s="55">
        <f t="shared" si="77"/>
        <v>0</v>
      </c>
      <c r="AB388" s="124">
        <f t="shared" si="83"/>
        <v>0</v>
      </c>
      <c r="AC388" s="80">
        <v>0.05</v>
      </c>
      <c r="AD388" s="125"/>
      <c r="AE388" s="79"/>
      <c r="AF388" s="79"/>
      <c r="AG388" s="78">
        <v>0.42</v>
      </c>
      <c r="AH388" s="55">
        <f t="shared" si="79"/>
        <v>0</v>
      </c>
      <c r="AI388" s="125">
        <v>0</v>
      </c>
      <c r="AJ388" s="55">
        <f t="shared" si="80"/>
        <v>0</v>
      </c>
      <c r="AK388" s="55">
        <v>0</v>
      </c>
      <c r="AL388" s="55">
        <f t="shared" si="81"/>
        <v>0</v>
      </c>
      <c r="AM388" s="55">
        <f t="shared" si="84"/>
        <v>0</v>
      </c>
      <c r="AN388" s="74"/>
    </row>
    <row r="389" spans="1:40" hidden="1" x14ac:dyDescent="0.25">
      <c r="A389" s="123" t="s">
        <v>293</v>
      </c>
      <c r="B389" s="79" t="s">
        <v>71</v>
      </c>
      <c r="C389" s="79" t="s">
        <v>127</v>
      </c>
      <c r="D389" s="79" t="s">
        <v>128</v>
      </c>
      <c r="E389" s="79" t="s">
        <v>141</v>
      </c>
      <c r="F389" s="79" t="s">
        <v>142</v>
      </c>
      <c r="G389" s="79" t="s">
        <v>76</v>
      </c>
      <c r="H389" s="79" t="s">
        <v>77</v>
      </c>
      <c r="I389" s="79" t="s">
        <v>78</v>
      </c>
      <c r="J389" s="79" t="s">
        <v>78</v>
      </c>
      <c r="K389" s="79" t="s">
        <v>3</v>
      </c>
      <c r="L389" s="79" t="s">
        <v>125</v>
      </c>
      <c r="M389" s="79"/>
      <c r="N389" s="79" t="s">
        <v>126</v>
      </c>
      <c r="O389" s="79" t="s">
        <v>94</v>
      </c>
      <c r="P389" s="78">
        <v>0.13</v>
      </c>
      <c r="Q389" s="79"/>
      <c r="R389" s="79"/>
      <c r="S389" s="55">
        <v>-30329.470000000099</v>
      </c>
      <c r="T389" s="55"/>
      <c r="U389" s="55">
        <v>0</v>
      </c>
      <c r="V389" s="55">
        <f t="shared" si="78"/>
        <v>-30329.470000000099</v>
      </c>
      <c r="W389" s="55">
        <f t="shared" si="82"/>
        <v>0</v>
      </c>
      <c r="X389" s="125"/>
      <c r="Y389" s="50">
        <f t="shared" si="85"/>
        <v>0</v>
      </c>
      <c r="Z389" s="50">
        <f t="shared" si="86"/>
        <v>0</v>
      </c>
      <c r="AA389" s="55">
        <f t="shared" ref="AA389:AA420" si="87">IF(O389="返现",W389*P389,U389-W389)</f>
        <v>0</v>
      </c>
      <c r="AB389" s="124">
        <f t="shared" si="83"/>
        <v>0</v>
      </c>
      <c r="AC389" s="80">
        <v>0.05</v>
      </c>
      <c r="AD389" s="125"/>
      <c r="AE389" s="79"/>
      <c r="AF389" s="79"/>
      <c r="AG389" s="78">
        <v>0.42</v>
      </c>
      <c r="AH389" s="55">
        <f t="shared" si="79"/>
        <v>0</v>
      </c>
      <c r="AI389" s="125">
        <v>0</v>
      </c>
      <c r="AJ389" s="55">
        <f t="shared" si="80"/>
        <v>0</v>
      </c>
      <c r="AK389" s="55">
        <v>0</v>
      </c>
      <c r="AL389" s="55">
        <f t="shared" si="81"/>
        <v>0</v>
      </c>
      <c r="AM389" s="55">
        <f t="shared" si="84"/>
        <v>0</v>
      </c>
      <c r="AN389" s="74"/>
    </row>
    <row r="390" spans="1:40" hidden="1" x14ac:dyDescent="0.25">
      <c r="A390" s="123" t="s">
        <v>293</v>
      </c>
      <c r="B390" s="79" t="s">
        <v>71</v>
      </c>
      <c r="C390" s="79" t="s">
        <v>127</v>
      </c>
      <c r="D390" s="79" t="s">
        <v>128</v>
      </c>
      <c r="E390" s="79" t="s">
        <v>143</v>
      </c>
      <c r="F390" s="79" t="s">
        <v>144</v>
      </c>
      <c r="G390" s="79" t="s">
        <v>76</v>
      </c>
      <c r="H390" s="79" t="s">
        <v>77</v>
      </c>
      <c r="I390" s="79" t="s">
        <v>78</v>
      </c>
      <c r="J390" s="79" t="s">
        <v>78</v>
      </c>
      <c r="K390" s="79" t="s">
        <v>3</v>
      </c>
      <c r="L390" s="79" t="s">
        <v>125</v>
      </c>
      <c r="M390" s="79"/>
      <c r="N390" s="79" t="s">
        <v>126</v>
      </c>
      <c r="O390" s="79" t="s">
        <v>94</v>
      </c>
      <c r="P390" s="78">
        <v>0.03</v>
      </c>
      <c r="Q390" s="79"/>
      <c r="R390" s="79"/>
      <c r="S390" s="55">
        <v>425.555211267598</v>
      </c>
      <c r="T390" s="55"/>
      <c r="U390" s="55">
        <v>0</v>
      </c>
      <c r="V390" s="55">
        <f t="shared" si="78"/>
        <v>425.555211267598</v>
      </c>
      <c r="W390" s="55">
        <f t="shared" si="82"/>
        <v>0</v>
      </c>
      <c r="X390" s="125"/>
      <c r="Y390" s="50">
        <f t="shared" si="85"/>
        <v>0</v>
      </c>
      <c r="Z390" s="50">
        <f t="shared" si="86"/>
        <v>0</v>
      </c>
      <c r="AA390" s="55">
        <f t="shared" si="87"/>
        <v>0</v>
      </c>
      <c r="AB390" s="124">
        <f t="shared" si="83"/>
        <v>0</v>
      </c>
      <c r="AC390" s="80">
        <v>0.05</v>
      </c>
      <c r="AD390" s="125"/>
      <c r="AE390" s="79"/>
      <c r="AF390" s="79"/>
      <c r="AG390" s="78">
        <v>0.42</v>
      </c>
      <c r="AH390" s="55">
        <f t="shared" si="79"/>
        <v>0</v>
      </c>
      <c r="AI390" s="125">
        <v>0</v>
      </c>
      <c r="AJ390" s="55">
        <f t="shared" si="80"/>
        <v>0</v>
      </c>
      <c r="AK390" s="55">
        <v>0</v>
      </c>
      <c r="AL390" s="55">
        <f t="shared" si="81"/>
        <v>0</v>
      </c>
      <c r="AM390" s="55">
        <f t="shared" si="84"/>
        <v>0</v>
      </c>
      <c r="AN390" s="74"/>
    </row>
    <row r="391" spans="1:40" hidden="1" x14ac:dyDescent="0.25">
      <c r="A391" s="123" t="s">
        <v>293</v>
      </c>
      <c r="B391" s="79" t="s">
        <v>71</v>
      </c>
      <c r="C391" s="79" t="s">
        <v>127</v>
      </c>
      <c r="D391" s="79" t="s">
        <v>128</v>
      </c>
      <c r="E391" s="79" t="s">
        <v>145</v>
      </c>
      <c r="F391" s="79" t="s">
        <v>146</v>
      </c>
      <c r="G391" s="79" t="s">
        <v>76</v>
      </c>
      <c r="H391" s="79" t="s">
        <v>77</v>
      </c>
      <c r="I391" s="79" t="s">
        <v>78</v>
      </c>
      <c r="J391" s="79" t="s">
        <v>78</v>
      </c>
      <c r="K391" s="79" t="s">
        <v>3</v>
      </c>
      <c r="L391" s="79" t="s">
        <v>125</v>
      </c>
      <c r="M391" s="79"/>
      <c r="N391" s="79" t="s">
        <v>126</v>
      </c>
      <c r="O391" s="79" t="s">
        <v>94</v>
      </c>
      <c r="P391" s="78">
        <v>0.22</v>
      </c>
      <c r="Q391" s="79"/>
      <c r="R391" s="79"/>
      <c r="S391" s="55">
        <v>1402.38690140774</v>
      </c>
      <c r="T391" s="55"/>
      <c r="U391" s="55">
        <v>0</v>
      </c>
      <c r="V391" s="55">
        <f t="shared" si="78"/>
        <v>1402.38690140774</v>
      </c>
      <c r="W391" s="55">
        <f t="shared" si="82"/>
        <v>0</v>
      </c>
      <c r="X391" s="125"/>
      <c r="Y391" s="50">
        <f t="shared" si="85"/>
        <v>0</v>
      </c>
      <c r="Z391" s="50">
        <f t="shared" si="86"/>
        <v>0</v>
      </c>
      <c r="AA391" s="55">
        <f t="shared" si="87"/>
        <v>0</v>
      </c>
      <c r="AB391" s="124">
        <f t="shared" si="83"/>
        <v>0</v>
      </c>
      <c r="AC391" s="80">
        <v>0.05</v>
      </c>
      <c r="AD391" s="125"/>
      <c r="AE391" s="79"/>
      <c r="AF391" s="79"/>
      <c r="AG391" s="78">
        <v>0.42</v>
      </c>
      <c r="AH391" s="55">
        <f t="shared" si="79"/>
        <v>0</v>
      </c>
      <c r="AI391" s="125">
        <v>0</v>
      </c>
      <c r="AJ391" s="55">
        <f t="shared" si="80"/>
        <v>0</v>
      </c>
      <c r="AK391" s="55">
        <v>0</v>
      </c>
      <c r="AL391" s="55">
        <f t="shared" si="81"/>
        <v>0</v>
      </c>
      <c r="AM391" s="55">
        <f t="shared" si="84"/>
        <v>0</v>
      </c>
      <c r="AN391" s="74"/>
    </row>
    <row r="392" spans="1:40" hidden="1" x14ac:dyDescent="0.25">
      <c r="A392" s="123" t="s">
        <v>293</v>
      </c>
      <c r="B392" s="79" t="s">
        <v>71</v>
      </c>
      <c r="C392" s="79" t="s">
        <v>127</v>
      </c>
      <c r="D392" s="79" t="s">
        <v>128</v>
      </c>
      <c r="E392" s="79" t="s">
        <v>147</v>
      </c>
      <c r="F392" s="79" t="s">
        <v>148</v>
      </c>
      <c r="G392" s="79" t="s">
        <v>76</v>
      </c>
      <c r="H392" s="79" t="s">
        <v>77</v>
      </c>
      <c r="I392" s="79" t="s">
        <v>78</v>
      </c>
      <c r="J392" s="79" t="s">
        <v>78</v>
      </c>
      <c r="K392" s="79" t="s">
        <v>3</v>
      </c>
      <c r="L392" s="79" t="s">
        <v>125</v>
      </c>
      <c r="M392" s="79"/>
      <c r="N392" s="79" t="s">
        <v>126</v>
      </c>
      <c r="O392" s="79" t="s">
        <v>94</v>
      </c>
      <c r="P392" s="78">
        <v>0.23</v>
      </c>
      <c r="Q392" s="79"/>
      <c r="R392" s="79"/>
      <c r="S392" s="55">
        <v>12961.68</v>
      </c>
      <c r="T392" s="55"/>
      <c r="U392" s="55">
        <v>0</v>
      </c>
      <c r="V392" s="55">
        <f t="shared" si="78"/>
        <v>12961.68</v>
      </c>
      <c r="W392" s="55">
        <f t="shared" si="82"/>
        <v>0</v>
      </c>
      <c r="X392" s="125"/>
      <c r="Y392" s="50">
        <f t="shared" si="85"/>
        <v>0</v>
      </c>
      <c r="Z392" s="50">
        <f t="shared" si="86"/>
        <v>0</v>
      </c>
      <c r="AA392" s="55">
        <f t="shared" si="87"/>
        <v>0</v>
      </c>
      <c r="AB392" s="124">
        <f t="shared" si="83"/>
        <v>0</v>
      </c>
      <c r="AC392" s="80">
        <v>0.05</v>
      </c>
      <c r="AD392" s="125"/>
      <c r="AE392" s="79"/>
      <c r="AF392" s="79"/>
      <c r="AG392" s="78">
        <v>0.42</v>
      </c>
      <c r="AH392" s="55">
        <f t="shared" si="79"/>
        <v>0</v>
      </c>
      <c r="AI392" s="125">
        <v>0</v>
      </c>
      <c r="AJ392" s="55">
        <f t="shared" si="80"/>
        <v>0</v>
      </c>
      <c r="AK392" s="55">
        <v>0</v>
      </c>
      <c r="AL392" s="55">
        <f t="shared" si="81"/>
        <v>0</v>
      </c>
      <c r="AM392" s="55">
        <f t="shared" si="84"/>
        <v>0</v>
      </c>
      <c r="AN392" s="74"/>
    </row>
    <row r="393" spans="1:40" hidden="1" x14ac:dyDescent="0.25">
      <c r="A393" s="123" t="s">
        <v>293</v>
      </c>
      <c r="B393" s="79" t="s">
        <v>71</v>
      </c>
      <c r="C393" s="79" t="s">
        <v>127</v>
      </c>
      <c r="D393" s="79" t="s">
        <v>128</v>
      </c>
      <c r="E393" s="79" t="s">
        <v>149</v>
      </c>
      <c r="F393" s="79" t="s">
        <v>150</v>
      </c>
      <c r="G393" s="79" t="s">
        <v>76</v>
      </c>
      <c r="H393" s="79" t="s">
        <v>77</v>
      </c>
      <c r="I393" s="79" t="s">
        <v>78</v>
      </c>
      <c r="J393" s="79" t="s">
        <v>78</v>
      </c>
      <c r="K393" s="79" t="s">
        <v>3</v>
      </c>
      <c r="L393" s="79" t="s">
        <v>125</v>
      </c>
      <c r="M393" s="79"/>
      <c r="N393" s="79" t="s">
        <v>126</v>
      </c>
      <c r="O393" s="79" t="s">
        <v>94</v>
      </c>
      <c r="P393" s="78">
        <v>0.13</v>
      </c>
      <c r="Q393" s="79"/>
      <c r="R393" s="79"/>
      <c r="S393" s="55">
        <v>143.460985915328</v>
      </c>
      <c r="T393" s="55"/>
      <c r="U393" s="55">
        <v>0</v>
      </c>
      <c r="V393" s="55">
        <f t="shared" si="78"/>
        <v>143.460985915328</v>
      </c>
      <c r="W393" s="55">
        <f t="shared" si="82"/>
        <v>0</v>
      </c>
      <c r="X393" s="125"/>
      <c r="Y393" s="50">
        <f t="shared" si="85"/>
        <v>0</v>
      </c>
      <c r="Z393" s="50">
        <f t="shared" si="86"/>
        <v>0</v>
      </c>
      <c r="AA393" s="55">
        <f t="shared" si="87"/>
        <v>0</v>
      </c>
      <c r="AB393" s="124">
        <f t="shared" si="83"/>
        <v>0</v>
      </c>
      <c r="AC393" s="80">
        <v>0.05</v>
      </c>
      <c r="AD393" s="125"/>
      <c r="AE393" s="79"/>
      <c r="AF393" s="79"/>
      <c r="AG393" s="78">
        <v>0.42</v>
      </c>
      <c r="AH393" s="55">
        <f t="shared" si="79"/>
        <v>0</v>
      </c>
      <c r="AI393" s="125">
        <v>0</v>
      </c>
      <c r="AJ393" s="55">
        <f t="shared" si="80"/>
        <v>0</v>
      </c>
      <c r="AK393" s="55">
        <v>0</v>
      </c>
      <c r="AL393" s="55">
        <f t="shared" si="81"/>
        <v>0</v>
      </c>
      <c r="AM393" s="55">
        <f t="shared" si="84"/>
        <v>0</v>
      </c>
      <c r="AN393" s="74"/>
    </row>
    <row r="394" spans="1:40" hidden="1" x14ac:dyDescent="0.25">
      <c r="A394" s="123" t="s">
        <v>293</v>
      </c>
      <c r="B394" s="79" t="s">
        <v>71</v>
      </c>
      <c r="C394" s="79" t="s">
        <v>127</v>
      </c>
      <c r="D394" s="79" t="s">
        <v>153</v>
      </c>
      <c r="E394" s="79" t="s">
        <v>154</v>
      </c>
      <c r="F394" s="79" t="s">
        <v>155</v>
      </c>
      <c r="G394" s="79" t="s">
        <v>76</v>
      </c>
      <c r="H394" s="79" t="s">
        <v>77</v>
      </c>
      <c r="I394" s="79" t="s">
        <v>78</v>
      </c>
      <c r="J394" s="79" t="s">
        <v>78</v>
      </c>
      <c r="K394" s="79" t="s">
        <v>3</v>
      </c>
      <c r="L394" s="79" t="s">
        <v>125</v>
      </c>
      <c r="M394" s="79"/>
      <c r="N394" s="79" t="s">
        <v>126</v>
      </c>
      <c r="O394" s="79" t="s">
        <v>94</v>
      </c>
      <c r="P394" s="78">
        <v>0.18</v>
      </c>
      <c r="Q394" s="79"/>
      <c r="R394" s="79"/>
      <c r="S394" s="55">
        <v>42851.614929577998</v>
      </c>
      <c r="T394" s="55"/>
      <c r="U394" s="55">
        <v>0</v>
      </c>
      <c r="V394" s="55">
        <f t="shared" si="78"/>
        <v>42851.614929577998</v>
      </c>
      <c r="W394" s="55">
        <f t="shared" si="82"/>
        <v>0</v>
      </c>
      <c r="X394" s="125"/>
      <c r="Y394" s="50">
        <f t="shared" si="85"/>
        <v>0</v>
      </c>
      <c r="Z394" s="50">
        <f t="shared" si="86"/>
        <v>0</v>
      </c>
      <c r="AA394" s="55">
        <f t="shared" si="87"/>
        <v>0</v>
      </c>
      <c r="AB394" s="124">
        <f t="shared" si="83"/>
        <v>0</v>
      </c>
      <c r="AC394" s="80">
        <v>0.05</v>
      </c>
      <c r="AD394" s="125"/>
      <c r="AE394" s="79"/>
      <c r="AF394" s="79"/>
      <c r="AG394" s="78">
        <v>0.42</v>
      </c>
      <c r="AH394" s="55">
        <f t="shared" si="79"/>
        <v>0</v>
      </c>
      <c r="AI394" s="125">
        <v>29942.36</v>
      </c>
      <c r="AJ394" s="55">
        <f t="shared" si="80"/>
        <v>0</v>
      </c>
      <c r="AK394" s="55">
        <v>0</v>
      </c>
      <c r="AL394" s="55">
        <f t="shared" si="81"/>
        <v>29942.36</v>
      </c>
      <c r="AM394" s="55">
        <f t="shared" si="84"/>
        <v>0</v>
      </c>
      <c r="AN394" s="74"/>
    </row>
    <row r="395" spans="1:40" hidden="1" x14ac:dyDescent="0.25">
      <c r="A395" s="123" t="s">
        <v>293</v>
      </c>
      <c r="B395" s="79" t="s">
        <v>71</v>
      </c>
      <c r="C395" s="79" t="s">
        <v>127</v>
      </c>
      <c r="D395" s="79" t="s">
        <v>153</v>
      </c>
      <c r="E395" s="79" t="s">
        <v>125</v>
      </c>
      <c r="F395" s="79" t="s">
        <v>156</v>
      </c>
      <c r="G395" s="79" t="s">
        <v>76</v>
      </c>
      <c r="H395" s="79" t="s">
        <v>77</v>
      </c>
      <c r="I395" s="79" t="s">
        <v>78</v>
      </c>
      <c r="J395" s="79" t="s">
        <v>78</v>
      </c>
      <c r="K395" s="79" t="s">
        <v>3</v>
      </c>
      <c r="L395" s="79" t="s">
        <v>125</v>
      </c>
      <c r="M395" s="79"/>
      <c r="N395" s="79" t="s">
        <v>126</v>
      </c>
      <c r="O395" s="79" t="s">
        <v>94</v>
      </c>
      <c r="P395" s="78">
        <v>0.08</v>
      </c>
      <c r="Q395" s="79"/>
      <c r="R395" s="79"/>
      <c r="S395" s="55">
        <v>29897.39</v>
      </c>
      <c r="T395" s="55"/>
      <c r="U395" s="55">
        <v>0</v>
      </c>
      <c r="V395" s="55">
        <f t="shared" si="78"/>
        <v>29897.39</v>
      </c>
      <c r="W395" s="55">
        <f t="shared" si="82"/>
        <v>0</v>
      </c>
      <c r="X395" s="125"/>
      <c r="Y395" s="50">
        <f t="shared" si="85"/>
        <v>0</v>
      </c>
      <c r="Z395" s="50">
        <f t="shared" si="86"/>
        <v>0</v>
      </c>
      <c r="AA395" s="55">
        <f t="shared" si="87"/>
        <v>0</v>
      </c>
      <c r="AB395" s="124">
        <f t="shared" si="83"/>
        <v>0</v>
      </c>
      <c r="AC395" s="80">
        <v>0.05</v>
      </c>
      <c r="AD395" s="125"/>
      <c r="AE395" s="79"/>
      <c r="AF395" s="79"/>
      <c r="AG395" s="78">
        <v>0.42</v>
      </c>
      <c r="AH395" s="55">
        <f t="shared" si="79"/>
        <v>0</v>
      </c>
      <c r="AI395" s="125">
        <v>0</v>
      </c>
      <c r="AJ395" s="55">
        <f t="shared" si="80"/>
        <v>0</v>
      </c>
      <c r="AK395" s="55">
        <v>0</v>
      </c>
      <c r="AL395" s="55">
        <f t="shared" si="81"/>
        <v>0</v>
      </c>
      <c r="AM395" s="55">
        <f t="shared" si="84"/>
        <v>0</v>
      </c>
      <c r="AN395" s="74"/>
    </row>
    <row r="396" spans="1:40" hidden="1" x14ac:dyDescent="0.25">
      <c r="A396" s="123" t="s">
        <v>293</v>
      </c>
      <c r="B396" s="79" t="s">
        <v>71</v>
      </c>
      <c r="C396" s="79" t="s">
        <v>127</v>
      </c>
      <c r="D396" s="79" t="s">
        <v>153</v>
      </c>
      <c r="E396" s="79" t="s">
        <v>157</v>
      </c>
      <c r="F396" s="79" t="s">
        <v>158</v>
      </c>
      <c r="G396" s="79" t="s">
        <v>76</v>
      </c>
      <c r="H396" s="79" t="s">
        <v>77</v>
      </c>
      <c r="I396" s="79" t="s">
        <v>78</v>
      </c>
      <c r="J396" s="79" t="s">
        <v>78</v>
      </c>
      <c r="K396" s="79" t="s">
        <v>3</v>
      </c>
      <c r="L396" s="79" t="s">
        <v>125</v>
      </c>
      <c r="M396" s="79"/>
      <c r="N396" s="79" t="s">
        <v>126</v>
      </c>
      <c r="O396" s="79" t="s">
        <v>94</v>
      </c>
      <c r="P396" s="78">
        <v>0.08</v>
      </c>
      <c r="Q396" s="79"/>
      <c r="R396" s="79"/>
      <c r="S396" s="55">
        <v>20014.111126760599</v>
      </c>
      <c r="T396" s="55"/>
      <c r="U396" s="55">
        <v>0</v>
      </c>
      <c r="V396" s="55">
        <f t="shared" si="78"/>
        <v>20014.111126760599</v>
      </c>
      <c r="W396" s="55">
        <f t="shared" si="82"/>
        <v>0</v>
      </c>
      <c r="X396" s="125"/>
      <c r="Y396" s="50">
        <f t="shared" si="85"/>
        <v>0</v>
      </c>
      <c r="Z396" s="50">
        <f t="shared" si="86"/>
        <v>0</v>
      </c>
      <c r="AA396" s="55">
        <f t="shared" si="87"/>
        <v>0</v>
      </c>
      <c r="AB396" s="124">
        <f t="shared" si="83"/>
        <v>0</v>
      </c>
      <c r="AC396" s="80">
        <v>0.05</v>
      </c>
      <c r="AD396" s="125"/>
      <c r="AE396" s="79"/>
      <c r="AF396" s="79"/>
      <c r="AG396" s="78">
        <v>0.42</v>
      </c>
      <c r="AH396" s="55">
        <f t="shared" si="79"/>
        <v>0</v>
      </c>
      <c r="AI396" s="125">
        <v>0</v>
      </c>
      <c r="AJ396" s="55">
        <f t="shared" si="80"/>
        <v>0</v>
      </c>
      <c r="AK396" s="55">
        <v>0</v>
      </c>
      <c r="AL396" s="55">
        <f t="shared" si="81"/>
        <v>0</v>
      </c>
      <c r="AM396" s="55">
        <f t="shared" si="84"/>
        <v>0</v>
      </c>
      <c r="AN396" s="74"/>
    </row>
    <row r="397" spans="1:40" hidden="1" x14ac:dyDescent="0.25">
      <c r="A397" s="123" t="s">
        <v>293</v>
      </c>
      <c r="B397" s="79" t="s">
        <v>71</v>
      </c>
      <c r="C397" s="79" t="s">
        <v>127</v>
      </c>
      <c r="D397" s="79" t="s">
        <v>153</v>
      </c>
      <c r="E397" s="79" t="s">
        <v>159</v>
      </c>
      <c r="F397" s="79" t="s">
        <v>160</v>
      </c>
      <c r="G397" s="79" t="s">
        <v>76</v>
      </c>
      <c r="H397" s="79" t="s">
        <v>77</v>
      </c>
      <c r="I397" s="79" t="s">
        <v>78</v>
      </c>
      <c r="J397" s="79" t="s">
        <v>78</v>
      </c>
      <c r="K397" s="79" t="s">
        <v>3</v>
      </c>
      <c r="L397" s="79" t="s">
        <v>125</v>
      </c>
      <c r="M397" s="79"/>
      <c r="N397" s="79" t="s">
        <v>126</v>
      </c>
      <c r="O397" s="79" t="s">
        <v>94</v>
      </c>
      <c r="P397" s="78">
        <v>0.04</v>
      </c>
      <c r="Q397" s="79"/>
      <c r="R397" s="79"/>
      <c r="S397" s="55">
        <v>322.47394365991897</v>
      </c>
      <c r="T397" s="55"/>
      <c r="U397" s="55">
        <v>0</v>
      </c>
      <c r="V397" s="55">
        <f t="shared" si="78"/>
        <v>322.47394365991897</v>
      </c>
      <c r="W397" s="55">
        <f t="shared" si="82"/>
        <v>0</v>
      </c>
      <c r="X397" s="125"/>
      <c r="Y397" s="50">
        <f t="shared" si="85"/>
        <v>0</v>
      </c>
      <c r="Z397" s="50">
        <f t="shared" si="86"/>
        <v>0</v>
      </c>
      <c r="AA397" s="55">
        <f t="shared" si="87"/>
        <v>0</v>
      </c>
      <c r="AB397" s="124">
        <f t="shared" si="83"/>
        <v>0</v>
      </c>
      <c r="AC397" s="80">
        <v>0.05</v>
      </c>
      <c r="AD397" s="125"/>
      <c r="AE397" s="79"/>
      <c r="AF397" s="79"/>
      <c r="AG397" s="78">
        <v>0.42</v>
      </c>
      <c r="AH397" s="55">
        <f t="shared" si="79"/>
        <v>0</v>
      </c>
      <c r="AI397" s="125">
        <v>0</v>
      </c>
      <c r="AJ397" s="55">
        <f t="shared" ref="AJ397:AJ422" si="88">T397*AG397</f>
        <v>0</v>
      </c>
      <c r="AK397" s="55">
        <v>0</v>
      </c>
      <c r="AL397" s="55">
        <f t="shared" si="81"/>
        <v>0</v>
      </c>
      <c r="AM397" s="55">
        <f t="shared" si="84"/>
        <v>0</v>
      </c>
      <c r="AN397" s="74"/>
    </row>
    <row r="398" spans="1:40" hidden="1" x14ac:dyDescent="0.25">
      <c r="A398" s="123" t="s">
        <v>293</v>
      </c>
      <c r="B398" s="79" t="s">
        <v>71</v>
      </c>
      <c r="C398" s="79" t="s">
        <v>127</v>
      </c>
      <c r="D398" s="79" t="s">
        <v>153</v>
      </c>
      <c r="E398" s="79" t="s">
        <v>161</v>
      </c>
      <c r="F398" s="79" t="s">
        <v>162</v>
      </c>
      <c r="G398" s="79" t="s">
        <v>76</v>
      </c>
      <c r="H398" s="79" t="s">
        <v>77</v>
      </c>
      <c r="I398" s="79" t="s">
        <v>78</v>
      </c>
      <c r="J398" s="79" t="s">
        <v>78</v>
      </c>
      <c r="K398" s="79" t="s">
        <v>3</v>
      </c>
      <c r="L398" s="79" t="s">
        <v>125</v>
      </c>
      <c r="M398" s="79"/>
      <c r="N398" s="79" t="s">
        <v>126</v>
      </c>
      <c r="O398" s="79" t="s">
        <v>94</v>
      </c>
      <c r="P398" s="78">
        <v>0.23</v>
      </c>
      <c r="Q398" s="79"/>
      <c r="R398" s="79"/>
      <c r="S398" s="55">
        <v>196.54507042269699</v>
      </c>
      <c r="T398" s="55"/>
      <c r="U398" s="55">
        <v>0</v>
      </c>
      <c r="V398" s="55">
        <f t="shared" si="78"/>
        <v>196.54507042269699</v>
      </c>
      <c r="W398" s="55">
        <f t="shared" si="82"/>
        <v>0</v>
      </c>
      <c r="X398" s="125"/>
      <c r="Y398" s="50">
        <f t="shared" si="85"/>
        <v>0</v>
      </c>
      <c r="Z398" s="50">
        <f t="shared" si="86"/>
        <v>0</v>
      </c>
      <c r="AA398" s="55">
        <f t="shared" si="87"/>
        <v>0</v>
      </c>
      <c r="AB398" s="124">
        <f t="shared" si="83"/>
        <v>0</v>
      </c>
      <c r="AC398" s="80">
        <v>0.05</v>
      </c>
      <c r="AD398" s="125"/>
      <c r="AE398" s="79"/>
      <c r="AF398" s="79"/>
      <c r="AG398" s="78">
        <v>0.42</v>
      </c>
      <c r="AH398" s="55">
        <f t="shared" si="79"/>
        <v>0</v>
      </c>
      <c r="AI398" s="125">
        <v>0</v>
      </c>
      <c r="AJ398" s="55">
        <f t="shared" si="88"/>
        <v>0</v>
      </c>
      <c r="AK398" s="55">
        <v>0</v>
      </c>
      <c r="AL398" s="55">
        <f t="shared" si="81"/>
        <v>0</v>
      </c>
      <c r="AM398" s="55">
        <f t="shared" si="84"/>
        <v>0</v>
      </c>
      <c r="AN398" s="74"/>
    </row>
    <row r="399" spans="1:40" hidden="1" x14ac:dyDescent="0.25">
      <c r="A399" s="123" t="s">
        <v>293</v>
      </c>
      <c r="B399" s="79" t="s">
        <v>71</v>
      </c>
      <c r="C399" s="79" t="s">
        <v>127</v>
      </c>
      <c r="D399" s="79" t="s">
        <v>153</v>
      </c>
      <c r="E399" s="79" t="s">
        <v>163</v>
      </c>
      <c r="F399" s="79" t="s">
        <v>164</v>
      </c>
      <c r="G399" s="79" t="s">
        <v>76</v>
      </c>
      <c r="H399" s="79" t="s">
        <v>77</v>
      </c>
      <c r="I399" s="79" t="s">
        <v>78</v>
      </c>
      <c r="J399" s="79" t="s">
        <v>78</v>
      </c>
      <c r="K399" s="79" t="s">
        <v>3</v>
      </c>
      <c r="L399" s="79" t="s">
        <v>125</v>
      </c>
      <c r="M399" s="79"/>
      <c r="N399" s="79" t="s">
        <v>126</v>
      </c>
      <c r="O399" s="79" t="s">
        <v>94</v>
      </c>
      <c r="P399" s="78">
        <v>0.03</v>
      </c>
      <c r="Q399" s="79"/>
      <c r="R399" s="79"/>
      <c r="S399" s="55">
        <v>1513.0032394366101</v>
      </c>
      <c r="T399" s="55"/>
      <c r="U399" s="55">
        <v>0</v>
      </c>
      <c r="V399" s="55">
        <f t="shared" si="78"/>
        <v>1513.0032394366101</v>
      </c>
      <c r="W399" s="55">
        <f t="shared" si="82"/>
        <v>0</v>
      </c>
      <c r="X399" s="125"/>
      <c r="Y399" s="50">
        <f t="shared" si="85"/>
        <v>0</v>
      </c>
      <c r="Z399" s="50">
        <f t="shared" si="86"/>
        <v>0</v>
      </c>
      <c r="AA399" s="55">
        <f t="shared" si="87"/>
        <v>0</v>
      </c>
      <c r="AB399" s="124">
        <f t="shared" si="83"/>
        <v>0</v>
      </c>
      <c r="AC399" s="80">
        <v>0.05</v>
      </c>
      <c r="AD399" s="125"/>
      <c r="AE399" s="79"/>
      <c r="AF399" s="79"/>
      <c r="AG399" s="78">
        <v>0.42</v>
      </c>
      <c r="AH399" s="55">
        <f t="shared" si="79"/>
        <v>0</v>
      </c>
      <c r="AI399" s="125">
        <v>0</v>
      </c>
      <c r="AJ399" s="55">
        <f t="shared" si="88"/>
        <v>0</v>
      </c>
      <c r="AK399" s="55">
        <v>0</v>
      </c>
      <c r="AL399" s="55">
        <f t="shared" si="81"/>
        <v>0</v>
      </c>
      <c r="AM399" s="55">
        <f t="shared" si="84"/>
        <v>0</v>
      </c>
      <c r="AN399" s="74"/>
    </row>
    <row r="400" spans="1:40" hidden="1" x14ac:dyDescent="0.25">
      <c r="A400" s="123" t="s">
        <v>293</v>
      </c>
      <c r="B400" s="79" t="s">
        <v>71</v>
      </c>
      <c r="C400" s="79" t="s">
        <v>127</v>
      </c>
      <c r="D400" s="79" t="s">
        <v>153</v>
      </c>
      <c r="E400" s="79" t="s">
        <v>165</v>
      </c>
      <c r="F400" s="79" t="s">
        <v>166</v>
      </c>
      <c r="G400" s="79" t="s">
        <v>76</v>
      </c>
      <c r="H400" s="79" t="s">
        <v>77</v>
      </c>
      <c r="I400" s="79" t="s">
        <v>78</v>
      </c>
      <c r="J400" s="79" t="s">
        <v>78</v>
      </c>
      <c r="K400" s="79" t="s">
        <v>3</v>
      </c>
      <c r="L400" s="79" t="s">
        <v>125</v>
      </c>
      <c r="M400" s="79"/>
      <c r="N400" s="79" t="s">
        <v>126</v>
      </c>
      <c r="O400" s="79" t="s">
        <v>94</v>
      </c>
      <c r="P400" s="78">
        <v>0.03</v>
      </c>
      <c r="Q400" s="79"/>
      <c r="R400" s="79"/>
      <c r="S400" s="55">
        <v>6504.6216901406997</v>
      </c>
      <c r="T400" s="55"/>
      <c r="U400" s="55">
        <v>0</v>
      </c>
      <c r="V400" s="55">
        <f t="shared" si="78"/>
        <v>6504.6216901406997</v>
      </c>
      <c r="W400" s="55">
        <f t="shared" si="82"/>
        <v>0</v>
      </c>
      <c r="X400" s="125"/>
      <c r="Y400" s="50">
        <f t="shared" si="85"/>
        <v>0</v>
      </c>
      <c r="Z400" s="50">
        <f t="shared" si="86"/>
        <v>0</v>
      </c>
      <c r="AA400" s="55">
        <f t="shared" si="87"/>
        <v>0</v>
      </c>
      <c r="AB400" s="124">
        <f t="shared" si="83"/>
        <v>0</v>
      </c>
      <c r="AC400" s="80">
        <v>0.05</v>
      </c>
      <c r="AD400" s="125"/>
      <c r="AE400" s="79"/>
      <c r="AF400" s="79"/>
      <c r="AG400" s="78">
        <v>0</v>
      </c>
      <c r="AH400" s="55">
        <f t="shared" si="79"/>
        <v>0</v>
      </c>
      <c r="AI400" s="125">
        <v>0</v>
      </c>
      <c r="AJ400" s="55">
        <f t="shared" si="88"/>
        <v>0</v>
      </c>
      <c r="AK400" s="55">
        <v>0</v>
      </c>
      <c r="AL400" s="55">
        <f t="shared" ref="AL400:AL422" si="89">AI400+AJ400-AK400+U400</f>
        <v>0</v>
      </c>
      <c r="AM400" s="55">
        <f t="shared" si="84"/>
        <v>0</v>
      </c>
      <c r="AN400" s="74"/>
    </row>
    <row r="401" spans="1:40" hidden="1" x14ac:dyDescent="0.25">
      <c r="A401" s="123" t="s">
        <v>293</v>
      </c>
      <c r="B401" s="79" t="s">
        <v>71</v>
      </c>
      <c r="C401" s="79" t="s">
        <v>127</v>
      </c>
      <c r="D401" s="79" t="s">
        <v>153</v>
      </c>
      <c r="E401" s="79" t="s">
        <v>167</v>
      </c>
      <c r="F401" s="79" t="s">
        <v>168</v>
      </c>
      <c r="G401" s="79" t="s">
        <v>76</v>
      </c>
      <c r="H401" s="79" t="s">
        <v>77</v>
      </c>
      <c r="I401" s="79" t="s">
        <v>78</v>
      </c>
      <c r="J401" s="79" t="s">
        <v>78</v>
      </c>
      <c r="K401" s="79" t="s">
        <v>3</v>
      </c>
      <c r="L401" s="79" t="s">
        <v>125</v>
      </c>
      <c r="M401" s="79"/>
      <c r="N401" s="79" t="s">
        <v>126</v>
      </c>
      <c r="O401" s="79" t="s">
        <v>94</v>
      </c>
      <c r="P401" s="78">
        <v>0.18</v>
      </c>
      <c r="Q401" s="79"/>
      <c r="R401" s="79"/>
      <c r="S401" s="55">
        <v>44820.261970721403</v>
      </c>
      <c r="T401" s="55"/>
      <c r="U401" s="55">
        <v>0</v>
      </c>
      <c r="V401" s="55">
        <f t="shared" si="78"/>
        <v>44820.261970721403</v>
      </c>
      <c r="W401" s="55">
        <f t="shared" si="82"/>
        <v>0</v>
      </c>
      <c r="X401" s="125"/>
      <c r="Y401" s="50">
        <f t="shared" si="85"/>
        <v>0</v>
      </c>
      <c r="Z401" s="50">
        <f t="shared" si="86"/>
        <v>0</v>
      </c>
      <c r="AA401" s="55">
        <f t="shared" si="87"/>
        <v>0</v>
      </c>
      <c r="AB401" s="124">
        <f t="shared" si="83"/>
        <v>0</v>
      </c>
      <c r="AC401" s="80">
        <v>0.05</v>
      </c>
      <c r="AD401" s="125"/>
      <c r="AE401" s="79"/>
      <c r="AF401" s="79"/>
      <c r="AG401" s="78">
        <v>0.42</v>
      </c>
      <c r="AH401" s="55">
        <f t="shared" si="79"/>
        <v>0</v>
      </c>
      <c r="AI401" s="125">
        <v>0</v>
      </c>
      <c r="AJ401" s="55">
        <f t="shared" si="88"/>
        <v>0</v>
      </c>
      <c r="AK401" s="55">
        <v>0</v>
      </c>
      <c r="AL401" s="55">
        <f t="shared" si="89"/>
        <v>0</v>
      </c>
      <c r="AM401" s="55">
        <f t="shared" si="84"/>
        <v>0</v>
      </c>
      <c r="AN401" s="74"/>
    </row>
    <row r="402" spans="1:40" hidden="1" x14ac:dyDescent="0.25">
      <c r="A402" s="123" t="s">
        <v>293</v>
      </c>
      <c r="B402" s="79" t="s">
        <v>71</v>
      </c>
      <c r="C402" s="79" t="s">
        <v>127</v>
      </c>
      <c r="D402" s="79" t="s">
        <v>153</v>
      </c>
      <c r="E402" s="79" t="s">
        <v>169</v>
      </c>
      <c r="F402" s="79" t="s">
        <v>170</v>
      </c>
      <c r="G402" s="79" t="s">
        <v>76</v>
      </c>
      <c r="H402" s="79" t="s">
        <v>77</v>
      </c>
      <c r="I402" s="79" t="s">
        <v>78</v>
      </c>
      <c r="J402" s="79" t="s">
        <v>78</v>
      </c>
      <c r="K402" s="79" t="s">
        <v>3</v>
      </c>
      <c r="L402" s="79" t="s">
        <v>125</v>
      </c>
      <c r="M402" s="79"/>
      <c r="N402" s="79" t="s">
        <v>126</v>
      </c>
      <c r="O402" s="79" t="s">
        <v>94</v>
      </c>
      <c r="P402" s="78">
        <v>0.23</v>
      </c>
      <c r="Q402" s="79"/>
      <c r="R402" s="79"/>
      <c r="S402" s="55">
        <v>132154.611549297</v>
      </c>
      <c r="T402" s="55"/>
      <c r="U402" s="55">
        <v>0</v>
      </c>
      <c r="V402" s="55">
        <f t="shared" si="78"/>
        <v>132154.611549297</v>
      </c>
      <c r="W402" s="55">
        <f t="shared" si="82"/>
        <v>0</v>
      </c>
      <c r="X402" s="125"/>
      <c r="Y402" s="50">
        <f t="shared" si="85"/>
        <v>0</v>
      </c>
      <c r="Z402" s="50">
        <f t="shared" si="86"/>
        <v>0</v>
      </c>
      <c r="AA402" s="55">
        <f t="shared" si="87"/>
        <v>0</v>
      </c>
      <c r="AB402" s="124">
        <f t="shared" si="83"/>
        <v>0</v>
      </c>
      <c r="AC402" s="80">
        <v>0.05</v>
      </c>
      <c r="AD402" s="125"/>
      <c r="AE402" s="79"/>
      <c r="AF402" s="79"/>
      <c r="AG402" s="78">
        <v>0.42</v>
      </c>
      <c r="AH402" s="55">
        <f t="shared" si="79"/>
        <v>0</v>
      </c>
      <c r="AI402" s="125">
        <v>0</v>
      </c>
      <c r="AJ402" s="55">
        <f t="shared" si="88"/>
        <v>0</v>
      </c>
      <c r="AK402" s="55">
        <v>0</v>
      </c>
      <c r="AL402" s="55">
        <f t="shared" si="89"/>
        <v>0</v>
      </c>
      <c r="AM402" s="55">
        <f t="shared" si="84"/>
        <v>0</v>
      </c>
      <c r="AN402" s="74"/>
    </row>
    <row r="403" spans="1:40" hidden="1" x14ac:dyDescent="0.25">
      <c r="A403" s="123" t="s">
        <v>293</v>
      </c>
      <c r="B403" s="79" t="s">
        <v>71</v>
      </c>
      <c r="C403" s="79" t="s">
        <v>127</v>
      </c>
      <c r="D403" s="79" t="s">
        <v>153</v>
      </c>
      <c r="E403" s="79" t="s">
        <v>171</v>
      </c>
      <c r="F403" s="79" t="s">
        <v>172</v>
      </c>
      <c r="G403" s="79" t="s">
        <v>76</v>
      </c>
      <c r="H403" s="79" t="s">
        <v>77</v>
      </c>
      <c r="I403" s="79" t="s">
        <v>78</v>
      </c>
      <c r="J403" s="79" t="s">
        <v>78</v>
      </c>
      <c r="K403" s="79" t="s">
        <v>3</v>
      </c>
      <c r="L403" s="79" t="s">
        <v>125</v>
      </c>
      <c r="M403" s="79"/>
      <c r="N403" s="79" t="s">
        <v>126</v>
      </c>
      <c r="O403" s="79" t="s">
        <v>94</v>
      </c>
      <c r="P403" s="78">
        <v>0.03</v>
      </c>
      <c r="Q403" s="79"/>
      <c r="R403" s="79"/>
      <c r="S403" s="55">
        <v>14157.309295774699</v>
      </c>
      <c r="T403" s="55"/>
      <c r="U403" s="55">
        <v>0</v>
      </c>
      <c r="V403" s="55">
        <f t="shared" si="78"/>
        <v>14157.309295774699</v>
      </c>
      <c r="W403" s="55">
        <f t="shared" ref="W403:W424" si="90">IF(O403="返现",U403,U403*(1+AG403)/(1+P403+AG403))</f>
        <v>0</v>
      </c>
      <c r="X403" s="125"/>
      <c r="Y403" s="50">
        <f t="shared" si="85"/>
        <v>0</v>
      </c>
      <c r="Z403" s="50">
        <f t="shared" si="86"/>
        <v>0</v>
      </c>
      <c r="AA403" s="55">
        <f t="shared" si="87"/>
        <v>0</v>
      </c>
      <c r="AB403" s="124">
        <f t="shared" ref="AB403:AB424" si="91">U403</f>
        <v>0</v>
      </c>
      <c r="AC403" s="80">
        <v>0.05</v>
      </c>
      <c r="AD403" s="125"/>
      <c r="AE403" s="79"/>
      <c r="AF403" s="79"/>
      <c r="AG403" s="78">
        <v>0.42</v>
      </c>
      <c r="AH403" s="55">
        <f t="shared" si="79"/>
        <v>0</v>
      </c>
      <c r="AI403" s="125">
        <v>0</v>
      </c>
      <c r="AJ403" s="55">
        <f t="shared" si="88"/>
        <v>0</v>
      </c>
      <c r="AK403" s="55">
        <v>0</v>
      </c>
      <c r="AL403" s="55">
        <f t="shared" si="89"/>
        <v>0</v>
      </c>
      <c r="AM403" s="55">
        <f t="shared" ref="AM403:AM424" si="92">IF(O403="返现",AK403/(1+AG403),AK403/(1+P403+AG403))</f>
        <v>0</v>
      </c>
      <c r="AN403" s="74"/>
    </row>
    <row r="404" spans="1:40" hidden="1" x14ac:dyDescent="0.25">
      <c r="A404" s="123" t="s">
        <v>293</v>
      </c>
      <c r="B404" s="79" t="s">
        <v>71</v>
      </c>
      <c r="C404" s="79" t="s">
        <v>127</v>
      </c>
      <c r="D404" s="79" t="s">
        <v>153</v>
      </c>
      <c r="E404" s="79" t="s">
        <v>173</v>
      </c>
      <c r="F404" s="79" t="s">
        <v>174</v>
      </c>
      <c r="G404" s="79" t="s">
        <v>76</v>
      </c>
      <c r="H404" s="79" t="s">
        <v>77</v>
      </c>
      <c r="I404" s="79" t="s">
        <v>78</v>
      </c>
      <c r="J404" s="79" t="s">
        <v>78</v>
      </c>
      <c r="K404" s="79" t="s">
        <v>3</v>
      </c>
      <c r="L404" s="79" t="s">
        <v>125</v>
      </c>
      <c r="M404" s="79"/>
      <c r="N404" s="79" t="s">
        <v>126</v>
      </c>
      <c r="O404" s="79" t="s">
        <v>94</v>
      </c>
      <c r="P404" s="78">
        <v>0.03</v>
      </c>
      <c r="Q404" s="79"/>
      <c r="R404" s="79"/>
      <c r="S404" s="55">
        <v>480.55873239384499</v>
      </c>
      <c r="T404" s="55"/>
      <c r="U404" s="55">
        <v>0</v>
      </c>
      <c r="V404" s="55">
        <f t="shared" si="78"/>
        <v>480.55873239384499</v>
      </c>
      <c r="W404" s="55">
        <f t="shared" si="90"/>
        <v>0</v>
      </c>
      <c r="X404" s="125"/>
      <c r="Y404" s="50">
        <f t="shared" si="85"/>
        <v>0</v>
      </c>
      <c r="Z404" s="50">
        <f t="shared" si="86"/>
        <v>0</v>
      </c>
      <c r="AA404" s="55">
        <f t="shared" si="87"/>
        <v>0</v>
      </c>
      <c r="AB404" s="124">
        <f t="shared" si="91"/>
        <v>0</v>
      </c>
      <c r="AC404" s="80">
        <v>0.05</v>
      </c>
      <c r="AD404" s="125"/>
      <c r="AE404" s="79"/>
      <c r="AF404" s="79"/>
      <c r="AG404" s="78">
        <v>0.42</v>
      </c>
      <c r="AH404" s="55">
        <f t="shared" si="79"/>
        <v>0</v>
      </c>
      <c r="AI404" s="125">
        <v>0</v>
      </c>
      <c r="AJ404" s="55">
        <f t="shared" si="88"/>
        <v>0</v>
      </c>
      <c r="AK404" s="55">
        <v>0</v>
      </c>
      <c r="AL404" s="55">
        <f t="shared" si="89"/>
        <v>0</v>
      </c>
      <c r="AM404" s="55">
        <f t="shared" si="92"/>
        <v>0</v>
      </c>
      <c r="AN404" s="74"/>
    </row>
    <row r="405" spans="1:40" hidden="1" x14ac:dyDescent="0.25">
      <c r="A405" s="123" t="s">
        <v>293</v>
      </c>
      <c r="B405" s="79" t="s">
        <v>71</v>
      </c>
      <c r="C405" s="79" t="s">
        <v>127</v>
      </c>
      <c r="D405" s="79" t="s">
        <v>153</v>
      </c>
      <c r="E405" s="79" t="s">
        <v>175</v>
      </c>
      <c r="F405" s="79" t="s">
        <v>176</v>
      </c>
      <c r="G405" s="79" t="s">
        <v>76</v>
      </c>
      <c r="H405" s="79" t="s">
        <v>77</v>
      </c>
      <c r="I405" s="79" t="s">
        <v>78</v>
      </c>
      <c r="J405" s="79" t="s">
        <v>78</v>
      </c>
      <c r="K405" s="79" t="s">
        <v>3</v>
      </c>
      <c r="L405" s="79" t="s">
        <v>125</v>
      </c>
      <c r="M405" s="79"/>
      <c r="N405" s="79" t="s">
        <v>126</v>
      </c>
      <c r="O405" s="79" t="s">
        <v>94</v>
      </c>
      <c r="P405" s="78">
        <v>0.23</v>
      </c>
      <c r="Q405" s="79"/>
      <c r="R405" s="79"/>
      <c r="S405" s="55">
        <v>88.72</v>
      </c>
      <c r="T405" s="55"/>
      <c r="U405" s="55">
        <v>0</v>
      </c>
      <c r="V405" s="55">
        <f t="shared" si="78"/>
        <v>88.72</v>
      </c>
      <c r="W405" s="55">
        <f t="shared" si="90"/>
        <v>0</v>
      </c>
      <c r="X405" s="125"/>
      <c r="Y405" s="50">
        <f t="shared" si="85"/>
        <v>0</v>
      </c>
      <c r="Z405" s="50">
        <f t="shared" si="86"/>
        <v>0</v>
      </c>
      <c r="AA405" s="55">
        <f t="shared" si="87"/>
        <v>0</v>
      </c>
      <c r="AB405" s="124">
        <f t="shared" si="91"/>
        <v>0</v>
      </c>
      <c r="AC405" s="80">
        <v>0.05</v>
      </c>
      <c r="AD405" s="125"/>
      <c r="AE405" s="79"/>
      <c r="AF405" s="79"/>
      <c r="AG405" s="78">
        <v>0.42</v>
      </c>
      <c r="AH405" s="55">
        <f t="shared" si="79"/>
        <v>0</v>
      </c>
      <c r="AI405" s="125">
        <v>0</v>
      </c>
      <c r="AJ405" s="55">
        <f t="shared" si="88"/>
        <v>0</v>
      </c>
      <c r="AK405" s="55">
        <v>0</v>
      </c>
      <c r="AL405" s="55">
        <f t="shared" si="89"/>
        <v>0</v>
      </c>
      <c r="AM405" s="55">
        <f t="shared" si="92"/>
        <v>0</v>
      </c>
      <c r="AN405" s="74"/>
    </row>
    <row r="406" spans="1:40" hidden="1" x14ac:dyDescent="0.25">
      <c r="A406" s="123" t="s">
        <v>293</v>
      </c>
      <c r="B406" s="79" t="s">
        <v>71</v>
      </c>
      <c r="C406" s="79" t="s">
        <v>127</v>
      </c>
      <c r="D406" s="79" t="s">
        <v>153</v>
      </c>
      <c r="E406" s="79" t="s">
        <v>177</v>
      </c>
      <c r="F406" s="79" t="s">
        <v>178</v>
      </c>
      <c r="G406" s="79" t="s">
        <v>76</v>
      </c>
      <c r="H406" s="79" t="s">
        <v>77</v>
      </c>
      <c r="I406" s="79" t="s">
        <v>78</v>
      </c>
      <c r="J406" s="79" t="s">
        <v>78</v>
      </c>
      <c r="K406" s="79" t="s">
        <v>3</v>
      </c>
      <c r="L406" s="79" t="s">
        <v>125</v>
      </c>
      <c r="M406" s="79"/>
      <c r="N406" s="79" t="s">
        <v>126</v>
      </c>
      <c r="O406" s="79" t="s">
        <v>94</v>
      </c>
      <c r="P406" s="78">
        <v>0.18</v>
      </c>
      <c r="Q406" s="79"/>
      <c r="R406" s="79"/>
      <c r="S406" s="55">
        <v>147.29985915508601</v>
      </c>
      <c r="T406" s="55"/>
      <c r="U406" s="55">
        <v>0</v>
      </c>
      <c r="V406" s="55">
        <f t="shared" si="78"/>
        <v>147.29985915508601</v>
      </c>
      <c r="W406" s="55">
        <f t="shared" si="90"/>
        <v>0</v>
      </c>
      <c r="X406" s="125"/>
      <c r="Y406" s="50">
        <f t="shared" si="85"/>
        <v>0</v>
      </c>
      <c r="Z406" s="50">
        <f t="shared" si="86"/>
        <v>0</v>
      </c>
      <c r="AA406" s="55">
        <f t="shared" si="87"/>
        <v>0</v>
      </c>
      <c r="AB406" s="124">
        <f t="shared" si="91"/>
        <v>0</v>
      </c>
      <c r="AC406" s="80">
        <v>0.05</v>
      </c>
      <c r="AD406" s="125"/>
      <c r="AE406" s="79"/>
      <c r="AF406" s="79"/>
      <c r="AG406" s="78">
        <v>0.42</v>
      </c>
      <c r="AH406" s="55">
        <f t="shared" si="79"/>
        <v>0</v>
      </c>
      <c r="AI406" s="125">
        <v>0</v>
      </c>
      <c r="AJ406" s="55">
        <f t="shared" si="88"/>
        <v>0</v>
      </c>
      <c r="AK406" s="55">
        <v>0</v>
      </c>
      <c r="AL406" s="55">
        <f t="shared" si="89"/>
        <v>0</v>
      </c>
      <c r="AM406" s="55">
        <f t="shared" si="92"/>
        <v>0</v>
      </c>
      <c r="AN406" s="74"/>
    </row>
    <row r="407" spans="1:40" hidden="1" x14ac:dyDescent="0.25">
      <c r="A407" s="123" t="s">
        <v>293</v>
      </c>
      <c r="B407" s="79" t="s">
        <v>71</v>
      </c>
      <c r="C407" s="79" t="s">
        <v>127</v>
      </c>
      <c r="D407" s="79" t="s">
        <v>153</v>
      </c>
      <c r="E407" s="79" t="s">
        <v>179</v>
      </c>
      <c r="F407" s="79" t="s">
        <v>180</v>
      </c>
      <c r="G407" s="79" t="s">
        <v>76</v>
      </c>
      <c r="H407" s="79" t="s">
        <v>77</v>
      </c>
      <c r="I407" s="79" t="s">
        <v>78</v>
      </c>
      <c r="J407" s="79" t="s">
        <v>78</v>
      </c>
      <c r="K407" s="79" t="s">
        <v>3</v>
      </c>
      <c r="L407" s="79" t="s">
        <v>125</v>
      </c>
      <c r="M407" s="79"/>
      <c r="N407" s="79" t="s">
        <v>126</v>
      </c>
      <c r="O407" s="79" t="s">
        <v>94</v>
      </c>
      <c r="P407" s="78">
        <v>0.18</v>
      </c>
      <c r="Q407" s="79"/>
      <c r="R407" s="79"/>
      <c r="S407" s="55">
        <v>4215.2245070423196</v>
      </c>
      <c r="T407" s="55"/>
      <c r="U407" s="55">
        <v>0</v>
      </c>
      <c r="V407" s="55">
        <f t="shared" si="78"/>
        <v>4215.2245070423196</v>
      </c>
      <c r="W407" s="55">
        <f t="shared" si="90"/>
        <v>0</v>
      </c>
      <c r="X407" s="125"/>
      <c r="Y407" s="50">
        <f t="shared" si="85"/>
        <v>0</v>
      </c>
      <c r="Z407" s="50">
        <f t="shared" si="86"/>
        <v>0</v>
      </c>
      <c r="AA407" s="55">
        <f t="shared" si="87"/>
        <v>0</v>
      </c>
      <c r="AB407" s="124">
        <f t="shared" si="91"/>
        <v>0</v>
      </c>
      <c r="AC407" s="80">
        <v>0.05</v>
      </c>
      <c r="AD407" s="125"/>
      <c r="AE407" s="79"/>
      <c r="AF407" s="79"/>
      <c r="AG407" s="78">
        <v>0.42</v>
      </c>
      <c r="AH407" s="55">
        <f t="shared" si="79"/>
        <v>0</v>
      </c>
      <c r="AI407" s="125">
        <v>0</v>
      </c>
      <c r="AJ407" s="55">
        <f t="shared" si="88"/>
        <v>0</v>
      </c>
      <c r="AK407" s="55">
        <v>0</v>
      </c>
      <c r="AL407" s="55">
        <f t="shared" si="89"/>
        <v>0</v>
      </c>
      <c r="AM407" s="55">
        <f t="shared" si="92"/>
        <v>0</v>
      </c>
      <c r="AN407" s="74"/>
    </row>
    <row r="408" spans="1:40" hidden="1" x14ac:dyDescent="0.25">
      <c r="A408" s="123" t="s">
        <v>293</v>
      </c>
      <c r="B408" s="79" t="s">
        <v>71</v>
      </c>
      <c r="C408" s="79" t="s">
        <v>127</v>
      </c>
      <c r="D408" s="79" t="s">
        <v>153</v>
      </c>
      <c r="E408" s="79" t="s">
        <v>181</v>
      </c>
      <c r="F408" s="79" t="s">
        <v>182</v>
      </c>
      <c r="G408" s="79" t="s">
        <v>76</v>
      </c>
      <c r="H408" s="79" t="s">
        <v>77</v>
      </c>
      <c r="I408" s="79" t="s">
        <v>78</v>
      </c>
      <c r="J408" s="79" t="s">
        <v>78</v>
      </c>
      <c r="K408" s="79" t="s">
        <v>3</v>
      </c>
      <c r="L408" s="79" t="s">
        <v>125</v>
      </c>
      <c r="M408" s="79"/>
      <c r="N408" s="79" t="s">
        <v>126</v>
      </c>
      <c r="O408" s="79" t="s">
        <v>94</v>
      </c>
      <c r="P408" s="78">
        <v>0.23</v>
      </c>
      <c r="Q408" s="79"/>
      <c r="R408" s="79"/>
      <c r="S408" s="55">
        <v>127.3395774647</v>
      </c>
      <c r="T408" s="55"/>
      <c r="U408" s="55">
        <v>0</v>
      </c>
      <c r="V408" s="55">
        <f t="shared" si="78"/>
        <v>127.3395774647</v>
      </c>
      <c r="W408" s="55">
        <f t="shared" si="90"/>
        <v>0</v>
      </c>
      <c r="X408" s="125"/>
      <c r="Y408" s="50">
        <f t="shared" si="85"/>
        <v>0</v>
      </c>
      <c r="Z408" s="50">
        <f t="shared" si="86"/>
        <v>0</v>
      </c>
      <c r="AA408" s="55">
        <f t="shared" si="87"/>
        <v>0</v>
      </c>
      <c r="AB408" s="124">
        <f t="shared" si="91"/>
        <v>0</v>
      </c>
      <c r="AC408" s="80">
        <v>0.05</v>
      </c>
      <c r="AD408" s="125"/>
      <c r="AE408" s="79"/>
      <c r="AF408" s="79"/>
      <c r="AG408" s="78">
        <v>0.42</v>
      </c>
      <c r="AH408" s="55">
        <f t="shared" si="79"/>
        <v>0</v>
      </c>
      <c r="AI408" s="125">
        <v>0</v>
      </c>
      <c r="AJ408" s="55">
        <f t="shared" si="88"/>
        <v>0</v>
      </c>
      <c r="AK408" s="55">
        <v>0</v>
      </c>
      <c r="AL408" s="55">
        <f t="shared" si="89"/>
        <v>0</v>
      </c>
      <c r="AM408" s="55">
        <f t="shared" si="92"/>
        <v>0</v>
      </c>
      <c r="AN408" s="74"/>
    </row>
    <row r="409" spans="1:40" hidden="1" x14ac:dyDescent="0.25">
      <c r="A409" s="123" t="s">
        <v>293</v>
      </c>
      <c r="B409" s="79" t="s">
        <v>71</v>
      </c>
      <c r="C409" s="79" t="s">
        <v>127</v>
      </c>
      <c r="D409" s="79" t="s">
        <v>153</v>
      </c>
      <c r="E409" s="79" t="s">
        <v>183</v>
      </c>
      <c r="F409" s="79" t="s">
        <v>184</v>
      </c>
      <c r="G409" s="79" t="s">
        <v>76</v>
      </c>
      <c r="H409" s="79" t="s">
        <v>77</v>
      </c>
      <c r="I409" s="79" t="s">
        <v>78</v>
      </c>
      <c r="J409" s="79" t="s">
        <v>78</v>
      </c>
      <c r="K409" s="79" t="s">
        <v>3</v>
      </c>
      <c r="L409" s="79" t="s">
        <v>125</v>
      </c>
      <c r="M409" s="79"/>
      <c r="N409" s="79" t="s">
        <v>126</v>
      </c>
      <c r="O409" s="79" t="s">
        <v>94</v>
      </c>
      <c r="P409" s="78">
        <v>0.23</v>
      </c>
      <c r="Q409" s="79"/>
      <c r="R409" s="79"/>
      <c r="S409" s="55">
        <v>172.66352112698999</v>
      </c>
      <c r="T409" s="55"/>
      <c r="U409" s="55">
        <v>0</v>
      </c>
      <c r="V409" s="55">
        <f t="shared" si="78"/>
        <v>172.66352112698999</v>
      </c>
      <c r="W409" s="55">
        <f t="shared" si="90"/>
        <v>0</v>
      </c>
      <c r="X409" s="125"/>
      <c r="Y409" s="50">
        <f t="shared" si="85"/>
        <v>0</v>
      </c>
      <c r="Z409" s="50">
        <f t="shared" si="86"/>
        <v>0</v>
      </c>
      <c r="AA409" s="55">
        <f t="shared" si="87"/>
        <v>0</v>
      </c>
      <c r="AB409" s="124">
        <f t="shared" si="91"/>
        <v>0</v>
      </c>
      <c r="AC409" s="80">
        <v>0.05</v>
      </c>
      <c r="AD409" s="125"/>
      <c r="AE409" s="79"/>
      <c r="AF409" s="79"/>
      <c r="AG409" s="78">
        <v>0.42</v>
      </c>
      <c r="AH409" s="55">
        <f t="shared" si="79"/>
        <v>0</v>
      </c>
      <c r="AI409" s="125">
        <v>0</v>
      </c>
      <c r="AJ409" s="55">
        <f t="shared" si="88"/>
        <v>0</v>
      </c>
      <c r="AK409" s="55">
        <v>0</v>
      </c>
      <c r="AL409" s="55">
        <f t="shared" si="89"/>
        <v>0</v>
      </c>
      <c r="AM409" s="55">
        <f t="shared" si="92"/>
        <v>0</v>
      </c>
      <c r="AN409" s="74"/>
    </row>
    <row r="410" spans="1:40" hidden="1" x14ac:dyDescent="0.25">
      <c r="A410" s="123" t="s">
        <v>293</v>
      </c>
      <c r="B410" s="79" t="s">
        <v>71</v>
      </c>
      <c r="C410" s="79" t="s">
        <v>127</v>
      </c>
      <c r="D410" s="79" t="s">
        <v>153</v>
      </c>
      <c r="E410" s="79" t="s">
        <v>185</v>
      </c>
      <c r="F410" s="79" t="s">
        <v>186</v>
      </c>
      <c r="G410" s="79" t="s">
        <v>76</v>
      </c>
      <c r="H410" s="79" t="s">
        <v>77</v>
      </c>
      <c r="I410" s="79" t="s">
        <v>78</v>
      </c>
      <c r="J410" s="79" t="s">
        <v>78</v>
      </c>
      <c r="K410" s="79" t="s">
        <v>3</v>
      </c>
      <c r="L410" s="79" t="s">
        <v>125</v>
      </c>
      <c r="M410" s="79"/>
      <c r="N410" s="79" t="s">
        <v>126</v>
      </c>
      <c r="O410" s="79" t="s">
        <v>94</v>
      </c>
      <c r="P410" s="78">
        <v>0.08</v>
      </c>
      <c r="Q410" s="79"/>
      <c r="R410" s="79"/>
      <c r="S410" s="55">
        <v>11055.15</v>
      </c>
      <c r="T410" s="55"/>
      <c r="U410" s="55">
        <v>0</v>
      </c>
      <c r="V410" s="55">
        <f t="shared" si="78"/>
        <v>11055.15</v>
      </c>
      <c r="W410" s="55">
        <f t="shared" si="90"/>
        <v>0</v>
      </c>
      <c r="X410" s="125"/>
      <c r="Y410" s="50">
        <f t="shared" si="85"/>
        <v>0</v>
      </c>
      <c r="Z410" s="50">
        <f t="shared" si="86"/>
        <v>0</v>
      </c>
      <c r="AA410" s="55">
        <f t="shared" si="87"/>
        <v>0</v>
      </c>
      <c r="AB410" s="124">
        <f t="shared" si="91"/>
        <v>0</v>
      </c>
      <c r="AC410" s="80">
        <v>0.05</v>
      </c>
      <c r="AD410" s="125"/>
      <c r="AE410" s="79"/>
      <c r="AF410" s="79"/>
      <c r="AG410" s="78">
        <v>0.42</v>
      </c>
      <c r="AH410" s="55">
        <f t="shared" si="79"/>
        <v>0</v>
      </c>
      <c r="AI410" s="125">
        <v>0</v>
      </c>
      <c r="AJ410" s="55">
        <f t="shared" si="88"/>
        <v>0</v>
      </c>
      <c r="AK410" s="55">
        <v>0</v>
      </c>
      <c r="AL410" s="55">
        <f t="shared" si="89"/>
        <v>0</v>
      </c>
      <c r="AM410" s="55">
        <f t="shared" si="92"/>
        <v>0</v>
      </c>
      <c r="AN410" s="74"/>
    </row>
    <row r="411" spans="1:40" hidden="1" x14ac:dyDescent="0.25">
      <c r="A411" s="123" t="s">
        <v>293</v>
      </c>
      <c r="B411" s="79" t="s">
        <v>3</v>
      </c>
      <c r="C411" s="79" t="s">
        <v>100</v>
      </c>
      <c r="D411" s="79" t="s">
        <v>101</v>
      </c>
      <c r="E411" s="79" t="s">
        <v>121</v>
      </c>
      <c r="F411" s="79" t="s">
        <v>121</v>
      </c>
      <c r="G411" s="79" t="s">
        <v>121</v>
      </c>
      <c r="H411" s="79" t="s">
        <v>77</v>
      </c>
      <c r="I411" s="79" t="s">
        <v>78</v>
      </c>
      <c r="J411" s="79" t="s">
        <v>78</v>
      </c>
      <c r="K411" s="79" t="s">
        <v>3</v>
      </c>
      <c r="L411" s="79" t="s">
        <v>121</v>
      </c>
      <c r="M411" s="79"/>
      <c r="N411" s="79" t="s">
        <v>86</v>
      </c>
      <c r="O411" s="79" t="s">
        <v>94</v>
      </c>
      <c r="P411" s="78">
        <v>5.5E-2</v>
      </c>
      <c r="Q411" s="79"/>
      <c r="R411" s="79"/>
      <c r="S411" s="55">
        <v>143178.91</v>
      </c>
      <c r="T411" s="55"/>
      <c r="U411" s="55">
        <v>1752.63</v>
      </c>
      <c r="V411" s="55">
        <f t="shared" si="78"/>
        <v>141426.28</v>
      </c>
      <c r="W411" s="55">
        <f t="shared" si="90"/>
        <v>1671.9650209205026</v>
      </c>
      <c r="X411" s="125"/>
      <c r="Y411" s="50">
        <f t="shared" si="85"/>
        <v>0</v>
      </c>
      <c r="Z411" s="50">
        <f t="shared" si="86"/>
        <v>13387.464435146445</v>
      </c>
      <c r="AA411" s="55">
        <f t="shared" si="87"/>
        <v>80.664979079497471</v>
      </c>
      <c r="AB411" s="124">
        <f t="shared" si="91"/>
        <v>1752.63</v>
      </c>
      <c r="AC411" s="80">
        <v>0.05</v>
      </c>
      <c r="AD411" s="125"/>
      <c r="AE411" s="79"/>
      <c r="AF411" s="79"/>
      <c r="AG411" s="78">
        <v>0.14000000000000001</v>
      </c>
      <c r="AH411" s="55">
        <f t="shared" si="79"/>
        <v>14033.350877192981</v>
      </c>
      <c r="AI411" s="125">
        <v>-122.019999999999</v>
      </c>
      <c r="AJ411" s="55">
        <f t="shared" si="88"/>
        <v>0</v>
      </c>
      <c r="AK411" s="55">
        <v>15998.02</v>
      </c>
      <c r="AL411" s="55">
        <f t="shared" si="89"/>
        <v>-14367.41</v>
      </c>
      <c r="AM411" s="55">
        <f t="shared" si="92"/>
        <v>13387.464435146445</v>
      </c>
      <c r="AN411" s="99">
        <f>AM411-W411</f>
        <v>11715.499414225942</v>
      </c>
    </row>
    <row r="412" spans="1:40" hidden="1" x14ac:dyDescent="0.25">
      <c r="A412" s="123" t="s">
        <v>293</v>
      </c>
      <c r="B412" s="79" t="s">
        <v>3</v>
      </c>
      <c r="C412" s="79" t="s">
        <v>90</v>
      </c>
      <c r="D412" s="79" t="s">
        <v>114</v>
      </c>
      <c r="E412" s="79" t="s">
        <v>115</v>
      </c>
      <c r="F412" s="79" t="s">
        <v>115</v>
      </c>
      <c r="G412" s="79" t="s">
        <v>115</v>
      </c>
      <c r="H412" s="79" t="s">
        <v>77</v>
      </c>
      <c r="I412" s="79" t="s">
        <v>78</v>
      </c>
      <c r="J412" s="79" t="s">
        <v>78</v>
      </c>
      <c r="K412" s="79" t="s">
        <v>3</v>
      </c>
      <c r="L412" s="79" t="s">
        <v>116</v>
      </c>
      <c r="M412" s="79"/>
      <c r="N412" s="79" t="s">
        <v>86</v>
      </c>
      <c r="O412" s="79" t="s">
        <v>94</v>
      </c>
      <c r="P412" s="46">
        <v>-0.15</v>
      </c>
      <c r="Q412" s="79"/>
      <c r="R412" s="79"/>
      <c r="S412" s="55">
        <v>205.52</v>
      </c>
      <c r="T412" s="55"/>
      <c r="U412" s="55">
        <v>0</v>
      </c>
      <c r="V412" s="55">
        <f t="shared" si="78"/>
        <v>205.52</v>
      </c>
      <c r="W412" s="55">
        <f t="shared" si="90"/>
        <v>0</v>
      </c>
      <c r="X412" s="125"/>
      <c r="Y412" s="50">
        <f t="shared" si="85"/>
        <v>0</v>
      </c>
      <c r="Z412" s="50">
        <f t="shared" si="86"/>
        <v>0</v>
      </c>
      <c r="AA412" s="55">
        <f t="shared" si="87"/>
        <v>0</v>
      </c>
      <c r="AB412" s="124">
        <f t="shared" si="91"/>
        <v>0</v>
      </c>
      <c r="AC412" s="80">
        <v>0.05</v>
      </c>
      <c r="AD412" s="125"/>
      <c r="AE412" s="79"/>
      <c r="AF412" s="79"/>
      <c r="AG412" s="46">
        <v>0.26</v>
      </c>
      <c r="AH412" s="55">
        <f t="shared" si="79"/>
        <v>0</v>
      </c>
      <c r="AI412" s="125">
        <v>0</v>
      </c>
      <c r="AJ412" s="55">
        <f t="shared" si="88"/>
        <v>0</v>
      </c>
      <c r="AK412" s="55">
        <v>0</v>
      </c>
      <c r="AL412" s="55">
        <f t="shared" si="89"/>
        <v>0</v>
      </c>
      <c r="AM412" s="55">
        <f t="shared" si="92"/>
        <v>0</v>
      </c>
      <c r="AN412" s="74"/>
    </row>
    <row r="413" spans="1:40" hidden="1" x14ac:dyDescent="0.25">
      <c r="A413" s="123" t="s">
        <v>293</v>
      </c>
      <c r="B413" s="79" t="s">
        <v>3</v>
      </c>
      <c r="C413" s="79" t="s">
        <v>72</v>
      </c>
      <c r="D413" s="79" t="s">
        <v>187</v>
      </c>
      <c r="E413" s="79" t="s">
        <v>188</v>
      </c>
      <c r="F413" s="79" t="s">
        <v>188</v>
      </c>
      <c r="G413" s="79" t="s">
        <v>188</v>
      </c>
      <c r="H413" s="79" t="s">
        <v>77</v>
      </c>
      <c r="I413" s="79" t="s">
        <v>78</v>
      </c>
      <c r="J413" s="79" t="s">
        <v>78</v>
      </c>
      <c r="K413" s="79" t="s">
        <v>3</v>
      </c>
      <c r="L413" s="79" t="s">
        <v>188</v>
      </c>
      <c r="M413" s="79"/>
      <c r="N413" s="79" t="s">
        <v>126</v>
      </c>
      <c r="O413" s="79" t="s">
        <v>94</v>
      </c>
      <c r="P413" s="78">
        <v>0.05</v>
      </c>
      <c r="Q413" s="79"/>
      <c r="R413" s="79"/>
      <c r="S413" s="55">
        <v>15503.97</v>
      </c>
      <c r="T413" s="55"/>
      <c r="U413" s="55">
        <v>0</v>
      </c>
      <c r="V413" s="55">
        <f t="shared" si="78"/>
        <v>15503.97</v>
      </c>
      <c r="W413" s="55">
        <f t="shared" si="90"/>
        <v>0</v>
      </c>
      <c r="X413" s="125"/>
      <c r="Y413" s="50">
        <f t="shared" si="85"/>
        <v>0</v>
      </c>
      <c r="Z413" s="50">
        <f t="shared" si="86"/>
        <v>0</v>
      </c>
      <c r="AA413" s="55">
        <f t="shared" si="87"/>
        <v>0</v>
      </c>
      <c r="AB413" s="124">
        <f t="shared" si="91"/>
        <v>0</v>
      </c>
      <c r="AC413" s="80">
        <v>0.05</v>
      </c>
      <c r="AD413" s="125"/>
      <c r="AE413" s="79"/>
      <c r="AF413" s="79"/>
      <c r="AG413" s="78">
        <v>0.36</v>
      </c>
      <c r="AH413" s="55">
        <f t="shared" si="79"/>
        <v>0</v>
      </c>
      <c r="AI413" s="125">
        <v>0</v>
      </c>
      <c r="AJ413" s="55">
        <f t="shared" si="88"/>
        <v>0</v>
      </c>
      <c r="AK413" s="55">
        <v>0</v>
      </c>
      <c r="AL413" s="55">
        <f t="shared" si="89"/>
        <v>0</v>
      </c>
      <c r="AM413" s="55">
        <f t="shared" si="92"/>
        <v>0</v>
      </c>
      <c r="AN413" s="74"/>
    </row>
    <row r="414" spans="1:40" hidden="1" x14ac:dyDescent="0.25">
      <c r="A414" s="123" t="s">
        <v>293</v>
      </c>
      <c r="B414" s="79" t="s">
        <v>3</v>
      </c>
      <c r="C414" s="79" t="s">
        <v>95</v>
      </c>
      <c r="D414" s="79" t="s">
        <v>96</v>
      </c>
      <c r="E414" s="79" t="s">
        <v>99</v>
      </c>
      <c r="F414" s="79" t="s">
        <v>99</v>
      </c>
      <c r="G414" s="79" t="s">
        <v>99</v>
      </c>
      <c r="H414" s="79" t="s">
        <v>77</v>
      </c>
      <c r="I414" s="79" t="s">
        <v>78</v>
      </c>
      <c r="J414" s="79" t="s">
        <v>78</v>
      </c>
      <c r="K414" s="79" t="s">
        <v>3</v>
      </c>
      <c r="L414" s="79" t="s">
        <v>98</v>
      </c>
      <c r="M414" s="79"/>
      <c r="N414" s="79" t="s">
        <v>86</v>
      </c>
      <c r="O414" s="79" t="s">
        <v>94</v>
      </c>
      <c r="P414" s="78">
        <v>0.03</v>
      </c>
      <c r="Q414" s="79"/>
      <c r="R414" s="79"/>
      <c r="S414" s="55">
        <v>5696.55</v>
      </c>
      <c r="T414" s="55"/>
      <c r="U414" s="55">
        <v>0.99</v>
      </c>
      <c r="V414" s="55">
        <f t="shared" si="78"/>
        <v>5695.56</v>
      </c>
      <c r="W414" s="55">
        <f t="shared" si="90"/>
        <v>0.96116504854368934</v>
      </c>
      <c r="X414" s="125"/>
      <c r="Y414" s="50">
        <f t="shared" si="85"/>
        <v>0</v>
      </c>
      <c r="Z414" s="50">
        <f t="shared" si="86"/>
        <v>0.96116504854368934</v>
      </c>
      <c r="AA414" s="55">
        <f t="shared" si="87"/>
        <v>2.8834951456310653E-2</v>
      </c>
      <c r="AB414" s="124">
        <f t="shared" si="91"/>
        <v>0.99</v>
      </c>
      <c r="AC414" s="80">
        <v>0.05</v>
      </c>
      <c r="AD414" s="125"/>
      <c r="AE414" s="79"/>
      <c r="AF414" s="79"/>
      <c r="AG414" s="78">
        <v>0</v>
      </c>
      <c r="AH414" s="55">
        <f t="shared" si="79"/>
        <v>0.99</v>
      </c>
      <c r="AI414" s="125">
        <v>0</v>
      </c>
      <c r="AJ414" s="55">
        <f t="shared" si="88"/>
        <v>0</v>
      </c>
      <c r="AK414" s="55">
        <v>0.99</v>
      </c>
      <c r="AL414" s="55">
        <f t="shared" si="89"/>
        <v>0</v>
      </c>
      <c r="AM414" s="55">
        <f t="shared" si="92"/>
        <v>0.96116504854368934</v>
      </c>
      <c r="AN414" s="99">
        <f>AM414-W414</f>
        <v>0</v>
      </c>
    </row>
    <row r="415" spans="1:40" hidden="1" x14ac:dyDescent="0.25">
      <c r="A415" s="123" t="s">
        <v>293</v>
      </c>
      <c r="B415" s="79" t="s">
        <v>3</v>
      </c>
      <c r="C415" s="79" t="s">
        <v>95</v>
      </c>
      <c r="D415" s="79" t="s">
        <v>96</v>
      </c>
      <c r="E415" s="79" t="s">
        <v>191</v>
      </c>
      <c r="F415" s="79" t="s">
        <v>191</v>
      </c>
      <c r="G415" s="79" t="s">
        <v>191</v>
      </c>
      <c r="H415" s="79" t="s">
        <v>77</v>
      </c>
      <c r="I415" s="79" t="s">
        <v>78</v>
      </c>
      <c r="J415" s="79" t="s">
        <v>78</v>
      </c>
      <c r="K415" s="79" t="s">
        <v>3</v>
      </c>
      <c r="L415" s="79" t="s">
        <v>192</v>
      </c>
      <c r="M415" s="79"/>
      <c r="N415" s="79" t="s">
        <v>86</v>
      </c>
      <c r="O415" s="79" t="s">
        <v>81</v>
      </c>
      <c r="P415" s="78">
        <v>0</v>
      </c>
      <c r="Q415" s="79"/>
      <c r="R415" s="79"/>
      <c r="S415" s="55">
        <v>6379.42</v>
      </c>
      <c r="T415" s="55"/>
      <c r="U415" s="55">
        <v>0</v>
      </c>
      <c r="V415" s="55">
        <f t="shared" si="78"/>
        <v>6379.42</v>
      </c>
      <c r="W415" s="55">
        <f t="shared" si="90"/>
        <v>0</v>
      </c>
      <c r="X415" s="125"/>
      <c r="Y415" s="50">
        <f t="shared" si="85"/>
        <v>0</v>
      </c>
      <c r="Z415" s="50">
        <f t="shared" si="86"/>
        <v>0</v>
      </c>
      <c r="AA415" s="55">
        <f t="shared" si="87"/>
        <v>0</v>
      </c>
      <c r="AB415" s="124">
        <f t="shared" si="91"/>
        <v>0</v>
      </c>
      <c r="AC415" s="80">
        <v>0.05</v>
      </c>
      <c r="AD415" s="125"/>
      <c r="AE415" s="79"/>
      <c r="AF415" s="79"/>
      <c r="AG415" s="78">
        <v>0.11</v>
      </c>
      <c r="AH415" s="55">
        <f t="shared" si="79"/>
        <v>0</v>
      </c>
      <c r="AI415" s="125">
        <v>0</v>
      </c>
      <c r="AJ415" s="55">
        <f t="shared" si="88"/>
        <v>0</v>
      </c>
      <c r="AK415" s="55">
        <v>0</v>
      </c>
      <c r="AL415" s="55">
        <f t="shared" si="89"/>
        <v>0</v>
      </c>
      <c r="AM415" s="55">
        <f t="shared" si="92"/>
        <v>0</v>
      </c>
      <c r="AN415" s="74"/>
    </row>
    <row r="416" spans="1:40" hidden="1" x14ac:dyDescent="0.25">
      <c r="A416" s="123" t="s">
        <v>293</v>
      </c>
      <c r="B416" s="79" t="s">
        <v>3</v>
      </c>
      <c r="C416" s="79" t="s">
        <v>81</v>
      </c>
      <c r="D416" s="79" t="s">
        <v>81</v>
      </c>
      <c r="E416" s="79" t="s">
        <v>108</v>
      </c>
      <c r="F416" s="79" t="s">
        <v>108</v>
      </c>
      <c r="G416" s="79" t="s">
        <v>108</v>
      </c>
      <c r="H416" s="79" t="s">
        <v>77</v>
      </c>
      <c r="I416" s="79" t="s">
        <v>78</v>
      </c>
      <c r="J416" s="79" t="s">
        <v>78</v>
      </c>
      <c r="K416" s="79" t="s">
        <v>3</v>
      </c>
      <c r="L416" s="79" t="s">
        <v>108</v>
      </c>
      <c r="M416" s="79"/>
      <c r="N416" s="79" t="s">
        <v>86</v>
      </c>
      <c r="O416" s="79" t="s">
        <v>81</v>
      </c>
      <c r="P416" s="78">
        <v>0</v>
      </c>
      <c r="Q416" s="79"/>
      <c r="R416" s="79"/>
      <c r="S416" s="55">
        <v>16485.32</v>
      </c>
      <c r="T416" s="55"/>
      <c r="U416" s="55">
        <v>44.13</v>
      </c>
      <c r="V416" s="55">
        <f t="shared" si="78"/>
        <v>16441.189999999999</v>
      </c>
      <c r="W416" s="55">
        <f t="shared" si="90"/>
        <v>44.13</v>
      </c>
      <c r="X416" s="125"/>
      <c r="Y416" s="50">
        <f t="shared" si="85"/>
        <v>0</v>
      </c>
      <c r="Z416" s="50">
        <f t="shared" si="86"/>
        <v>31.077464788732399</v>
      </c>
      <c r="AA416" s="55">
        <f t="shared" si="87"/>
        <v>0</v>
      </c>
      <c r="AB416" s="124">
        <f t="shared" si="91"/>
        <v>44.13</v>
      </c>
      <c r="AC416" s="80">
        <v>0.05</v>
      </c>
      <c r="AD416" s="125"/>
      <c r="AE416" s="79"/>
      <c r="AF416" s="79"/>
      <c r="AG416" s="78">
        <v>0.42</v>
      </c>
      <c r="AH416" s="55">
        <f t="shared" si="79"/>
        <v>31.077464788732399</v>
      </c>
      <c r="AI416" s="125">
        <v>0</v>
      </c>
      <c r="AJ416" s="55">
        <f t="shared" si="88"/>
        <v>0</v>
      </c>
      <c r="AK416" s="55">
        <v>44.13</v>
      </c>
      <c r="AL416" s="55">
        <f t="shared" si="89"/>
        <v>0</v>
      </c>
      <c r="AM416" s="55">
        <f t="shared" si="92"/>
        <v>31.077464788732399</v>
      </c>
      <c r="AN416" s="99">
        <f>AM416-W416</f>
        <v>-13.052535211267603</v>
      </c>
    </row>
    <row r="417" spans="1:40" hidden="1" x14ac:dyDescent="0.25">
      <c r="A417" s="123" t="s">
        <v>293</v>
      </c>
      <c r="B417" s="79" t="s">
        <v>3</v>
      </c>
      <c r="C417" s="79" t="s">
        <v>193</v>
      </c>
      <c r="D417" s="79" t="s">
        <v>194</v>
      </c>
      <c r="E417" s="79" t="s">
        <v>261</v>
      </c>
      <c r="F417" s="79" t="s">
        <v>262</v>
      </c>
      <c r="G417" s="79" t="s">
        <v>261</v>
      </c>
      <c r="H417" s="79" t="s">
        <v>77</v>
      </c>
      <c r="I417" s="79" t="s">
        <v>78</v>
      </c>
      <c r="J417" s="79" t="s">
        <v>78</v>
      </c>
      <c r="K417" s="79" t="s">
        <v>3</v>
      </c>
      <c r="L417" s="79" t="s">
        <v>263</v>
      </c>
      <c r="M417" s="79"/>
      <c r="N417" s="79" t="s">
        <v>86</v>
      </c>
      <c r="O417" s="79" t="s">
        <v>81</v>
      </c>
      <c r="P417" s="78">
        <v>0</v>
      </c>
      <c r="Q417" s="79"/>
      <c r="R417" s="79"/>
      <c r="S417" s="55">
        <v>-25.54</v>
      </c>
      <c r="T417" s="55"/>
      <c r="U417" s="55">
        <v>0</v>
      </c>
      <c r="V417" s="55">
        <f t="shared" si="78"/>
        <v>-25.54</v>
      </c>
      <c r="W417" s="55">
        <f t="shared" si="90"/>
        <v>0</v>
      </c>
      <c r="X417" s="125"/>
      <c r="Y417" s="50">
        <f t="shared" si="85"/>
        <v>0</v>
      </c>
      <c r="Z417" s="50">
        <f t="shared" si="86"/>
        <v>0</v>
      </c>
      <c r="AA417" s="55">
        <f t="shared" si="87"/>
        <v>0</v>
      </c>
      <c r="AB417" s="124">
        <f t="shared" si="91"/>
        <v>0</v>
      </c>
      <c r="AC417" s="80">
        <v>0.05</v>
      </c>
      <c r="AD417" s="125"/>
      <c r="AE417" s="79"/>
      <c r="AF417" s="79"/>
      <c r="AG417" s="78">
        <v>0</v>
      </c>
      <c r="AH417" s="55">
        <f t="shared" si="79"/>
        <v>0</v>
      </c>
      <c r="AI417" s="125">
        <v>45.03</v>
      </c>
      <c r="AJ417" s="55">
        <f t="shared" si="88"/>
        <v>0</v>
      </c>
      <c r="AK417" s="55">
        <v>0</v>
      </c>
      <c r="AL417" s="55">
        <f t="shared" si="89"/>
        <v>45.03</v>
      </c>
      <c r="AM417" s="55">
        <f t="shared" si="92"/>
        <v>0</v>
      </c>
      <c r="AN417" s="99">
        <f>AM417-W417</f>
        <v>0</v>
      </c>
    </row>
    <row r="418" spans="1:40" hidden="1" x14ac:dyDescent="0.25">
      <c r="A418" s="123" t="s">
        <v>293</v>
      </c>
      <c r="B418" s="79" t="s">
        <v>71</v>
      </c>
      <c r="C418" s="79" t="s">
        <v>127</v>
      </c>
      <c r="D418" s="79" t="s">
        <v>153</v>
      </c>
      <c r="E418" s="79" t="s">
        <v>266</v>
      </c>
      <c r="F418" s="79" t="s">
        <v>267</v>
      </c>
      <c r="G418" s="79" t="s">
        <v>76</v>
      </c>
      <c r="H418" s="79" t="s">
        <v>77</v>
      </c>
      <c r="I418" s="79" t="s">
        <v>78</v>
      </c>
      <c r="J418" s="79" t="s">
        <v>78</v>
      </c>
      <c r="K418" s="79" t="s">
        <v>3</v>
      </c>
      <c r="L418" s="79" t="s">
        <v>125</v>
      </c>
      <c r="M418" s="79"/>
      <c r="N418" s="79" t="s">
        <v>126</v>
      </c>
      <c r="O418" s="79" t="s">
        <v>94</v>
      </c>
      <c r="P418" s="78">
        <v>0.13</v>
      </c>
      <c r="Q418" s="79"/>
      <c r="R418" s="79"/>
      <c r="S418" s="55">
        <v>20.729999999996402</v>
      </c>
      <c r="T418" s="55"/>
      <c r="U418" s="55">
        <v>0</v>
      </c>
      <c r="V418" s="55">
        <f t="shared" si="78"/>
        <v>20.729999999996402</v>
      </c>
      <c r="W418" s="55">
        <f t="shared" si="90"/>
        <v>0</v>
      </c>
      <c r="X418" s="125"/>
      <c r="Y418" s="50">
        <f t="shared" si="85"/>
        <v>0</v>
      </c>
      <c r="Z418" s="50">
        <f t="shared" si="86"/>
        <v>0</v>
      </c>
      <c r="AA418" s="55">
        <f t="shared" si="87"/>
        <v>0</v>
      </c>
      <c r="AB418" s="124">
        <f t="shared" si="91"/>
        <v>0</v>
      </c>
      <c r="AC418" s="80">
        <v>0.05</v>
      </c>
      <c r="AD418" s="125"/>
      <c r="AE418" s="79"/>
      <c r="AF418" s="79"/>
      <c r="AG418" s="78">
        <v>0.42</v>
      </c>
      <c r="AH418" s="55">
        <f t="shared" si="79"/>
        <v>0</v>
      </c>
      <c r="AI418" s="125">
        <v>0</v>
      </c>
      <c r="AJ418" s="55">
        <f t="shared" si="88"/>
        <v>0</v>
      </c>
      <c r="AK418" s="55">
        <v>0</v>
      </c>
      <c r="AL418" s="55">
        <f t="shared" si="89"/>
        <v>0</v>
      </c>
      <c r="AM418" s="55">
        <f t="shared" si="92"/>
        <v>0</v>
      </c>
      <c r="AN418" s="99"/>
    </row>
    <row r="419" spans="1:40" hidden="1" x14ac:dyDescent="0.25">
      <c r="A419" s="123" t="s">
        <v>293</v>
      </c>
      <c r="B419" s="79" t="s">
        <v>71</v>
      </c>
      <c r="C419" s="79" t="s">
        <v>127</v>
      </c>
      <c r="D419" s="79" t="s">
        <v>128</v>
      </c>
      <c r="E419" s="79" t="s">
        <v>268</v>
      </c>
      <c r="F419" s="79" t="s">
        <v>269</v>
      </c>
      <c r="G419" s="79" t="s">
        <v>76</v>
      </c>
      <c r="H419" s="79" t="s">
        <v>77</v>
      </c>
      <c r="I419" s="79" t="s">
        <v>78</v>
      </c>
      <c r="J419" s="79" t="s">
        <v>78</v>
      </c>
      <c r="K419" s="79" t="s">
        <v>3</v>
      </c>
      <c r="L419" s="79" t="s">
        <v>125</v>
      </c>
      <c r="M419" s="79"/>
      <c r="N419" s="79" t="s">
        <v>126</v>
      </c>
      <c r="O419" s="79" t="s">
        <v>94</v>
      </c>
      <c r="P419" s="78">
        <v>0.03</v>
      </c>
      <c r="Q419" s="79"/>
      <c r="R419" s="79"/>
      <c r="S419" s="55">
        <v>22.61</v>
      </c>
      <c r="T419" s="55"/>
      <c r="U419" s="55">
        <v>0</v>
      </c>
      <c r="V419" s="55">
        <f t="shared" si="78"/>
        <v>22.61</v>
      </c>
      <c r="W419" s="55">
        <f t="shared" si="90"/>
        <v>0</v>
      </c>
      <c r="X419" s="125"/>
      <c r="Y419" s="50">
        <f t="shared" si="85"/>
        <v>0</v>
      </c>
      <c r="Z419" s="50">
        <f t="shared" si="86"/>
        <v>0</v>
      </c>
      <c r="AA419" s="55">
        <f t="shared" si="87"/>
        <v>0</v>
      </c>
      <c r="AB419" s="124">
        <f t="shared" si="91"/>
        <v>0</v>
      </c>
      <c r="AC419" s="80">
        <v>0.05</v>
      </c>
      <c r="AD419" s="125"/>
      <c r="AE419" s="79"/>
      <c r="AF419" s="79"/>
      <c r="AG419" s="78">
        <v>0.42</v>
      </c>
      <c r="AH419" s="55">
        <f t="shared" si="79"/>
        <v>0</v>
      </c>
      <c r="AI419" s="125">
        <v>0</v>
      </c>
      <c r="AJ419" s="55">
        <f t="shared" si="88"/>
        <v>0</v>
      </c>
      <c r="AK419" s="55">
        <v>0</v>
      </c>
      <c r="AL419" s="55">
        <f t="shared" si="89"/>
        <v>0</v>
      </c>
      <c r="AM419" s="55">
        <f t="shared" si="92"/>
        <v>0</v>
      </c>
      <c r="AN419" s="99"/>
    </row>
    <row r="420" spans="1:40" hidden="1" x14ac:dyDescent="0.25">
      <c r="A420" s="123" t="s">
        <v>293</v>
      </c>
      <c r="B420" s="79" t="s">
        <v>71</v>
      </c>
      <c r="C420" s="79" t="s">
        <v>127</v>
      </c>
      <c r="D420" s="79" t="s">
        <v>128</v>
      </c>
      <c r="E420" s="79" t="s">
        <v>270</v>
      </c>
      <c r="F420" s="79" t="s">
        <v>271</v>
      </c>
      <c r="G420" s="79" t="s">
        <v>76</v>
      </c>
      <c r="H420" s="79" t="s">
        <v>77</v>
      </c>
      <c r="I420" s="79" t="s">
        <v>78</v>
      </c>
      <c r="J420" s="79" t="s">
        <v>78</v>
      </c>
      <c r="K420" s="79" t="s">
        <v>3</v>
      </c>
      <c r="L420" s="79" t="s">
        <v>125</v>
      </c>
      <c r="M420" s="79"/>
      <c r="N420" s="79" t="s">
        <v>126</v>
      </c>
      <c r="O420" s="79" t="s">
        <v>94</v>
      </c>
      <c r="P420" s="78">
        <v>0.13</v>
      </c>
      <c r="Q420" s="79"/>
      <c r="R420" s="79"/>
      <c r="S420" s="55">
        <v>29.53</v>
      </c>
      <c r="T420" s="55"/>
      <c r="U420" s="55">
        <v>0</v>
      </c>
      <c r="V420" s="55">
        <f t="shared" si="78"/>
        <v>29.53</v>
      </c>
      <c r="W420" s="55">
        <f t="shared" si="90"/>
        <v>0</v>
      </c>
      <c r="X420" s="125"/>
      <c r="Y420" s="50">
        <f t="shared" si="85"/>
        <v>0</v>
      </c>
      <c r="Z420" s="50">
        <f t="shared" si="86"/>
        <v>0</v>
      </c>
      <c r="AA420" s="55">
        <f t="shared" si="87"/>
        <v>0</v>
      </c>
      <c r="AB420" s="124">
        <f t="shared" si="91"/>
        <v>0</v>
      </c>
      <c r="AC420" s="80">
        <v>0.05</v>
      </c>
      <c r="AD420" s="125"/>
      <c r="AE420" s="79"/>
      <c r="AF420" s="79"/>
      <c r="AG420" s="78">
        <v>0.42</v>
      </c>
      <c r="AH420" s="55">
        <f t="shared" si="79"/>
        <v>0</v>
      </c>
      <c r="AI420" s="125">
        <v>0</v>
      </c>
      <c r="AJ420" s="55">
        <f t="shared" si="88"/>
        <v>0</v>
      </c>
      <c r="AK420" s="55">
        <v>0</v>
      </c>
      <c r="AL420" s="55">
        <f t="shared" si="89"/>
        <v>0</v>
      </c>
      <c r="AM420" s="55">
        <f t="shared" si="92"/>
        <v>0</v>
      </c>
      <c r="AN420" s="99"/>
    </row>
    <row r="421" spans="1:40" hidden="1" x14ac:dyDescent="0.25">
      <c r="A421" s="123" t="s">
        <v>293</v>
      </c>
      <c r="B421" s="79" t="s">
        <v>71</v>
      </c>
      <c r="C421" s="79" t="s">
        <v>127</v>
      </c>
      <c r="D421" s="79" t="s">
        <v>128</v>
      </c>
      <c r="E421" s="79" t="s">
        <v>272</v>
      </c>
      <c r="F421" s="79" t="s">
        <v>273</v>
      </c>
      <c r="G421" s="79" t="s">
        <v>76</v>
      </c>
      <c r="H421" s="79" t="s">
        <v>77</v>
      </c>
      <c r="I421" s="79" t="s">
        <v>78</v>
      </c>
      <c r="J421" s="79" t="s">
        <v>78</v>
      </c>
      <c r="K421" s="79" t="s">
        <v>3</v>
      </c>
      <c r="L421" s="79" t="s">
        <v>125</v>
      </c>
      <c r="M421" s="79"/>
      <c r="N421" s="79" t="s">
        <v>126</v>
      </c>
      <c r="O421" s="79" t="s">
        <v>94</v>
      </c>
      <c r="P421" s="78">
        <v>0.21</v>
      </c>
      <c r="Q421" s="79"/>
      <c r="R421" s="79"/>
      <c r="S421" s="55">
        <v>1.90619718309881</v>
      </c>
      <c r="T421" s="55"/>
      <c r="U421" s="55">
        <v>0</v>
      </c>
      <c r="V421" s="55">
        <f t="shared" si="78"/>
        <v>1.90619718309881</v>
      </c>
      <c r="W421" s="55">
        <f t="shared" si="90"/>
        <v>0</v>
      </c>
      <c r="X421" s="125"/>
      <c r="Y421" s="50">
        <f t="shared" si="85"/>
        <v>0</v>
      </c>
      <c r="Z421" s="50">
        <f t="shared" si="86"/>
        <v>0</v>
      </c>
      <c r="AA421" s="55">
        <f t="shared" ref="AA421:AA428" si="93">IF(O421="返现",W421*P421,U421-W421)</f>
        <v>0</v>
      </c>
      <c r="AB421" s="124">
        <f t="shared" si="91"/>
        <v>0</v>
      </c>
      <c r="AC421" s="80">
        <v>0.05</v>
      </c>
      <c r="AD421" s="125"/>
      <c r="AE421" s="79"/>
      <c r="AF421" s="79"/>
      <c r="AG421" s="78">
        <v>0.42</v>
      </c>
      <c r="AH421" s="55">
        <f t="shared" si="79"/>
        <v>0</v>
      </c>
      <c r="AI421" s="125">
        <v>0</v>
      </c>
      <c r="AJ421" s="55">
        <f t="shared" si="88"/>
        <v>0</v>
      </c>
      <c r="AK421" s="55">
        <v>0</v>
      </c>
      <c r="AL421" s="55">
        <f t="shared" si="89"/>
        <v>0</v>
      </c>
      <c r="AM421" s="55">
        <f t="shared" si="92"/>
        <v>0</v>
      </c>
      <c r="AN421" s="99"/>
    </row>
    <row r="422" spans="1:40" hidden="1" x14ac:dyDescent="0.25">
      <c r="A422" s="123" t="s">
        <v>293</v>
      </c>
      <c r="B422" s="79" t="s">
        <v>71</v>
      </c>
      <c r="C422" s="79" t="s">
        <v>127</v>
      </c>
      <c r="D422" s="79" t="s">
        <v>128</v>
      </c>
      <c r="E422" s="79" t="s">
        <v>274</v>
      </c>
      <c r="F422" s="79" t="s">
        <v>275</v>
      </c>
      <c r="G422" s="79" t="s">
        <v>76</v>
      </c>
      <c r="H422" s="79" t="s">
        <v>77</v>
      </c>
      <c r="I422" s="79" t="s">
        <v>78</v>
      </c>
      <c r="J422" s="79" t="s">
        <v>78</v>
      </c>
      <c r="K422" s="79" t="s">
        <v>3</v>
      </c>
      <c r="L422" s="79" t="s">
        <v>125</v>
      </c>
      <c r="M422" s="79"/>
      <c r="N422" s="79" t="s">
        <v>126</v>
      </c>
      <c r="O422" s="79" t="s">
        <v>94</v>
      </c>
      <c r="P422" s="78">
        <v>0.03</v>
      </c>
      <c r="Q422" s="79"/>
      <c r="R422" s="79"/>
      <c r="S422" s="55">
        <v>62.533943663001999</v>
      </c>
      <c r="T422" s="55"/>
      <c r="U422" s="55">
        <v>0</v>
      </c>
      <c r="V422" s="55">
        <f t="shared" si="78"/>
        <v>62.533943663001999</v>
      </c>
      <c r="W422" s="55">
        <f t="shared" si="90"/>
        <v>0</v>
      </c>
      <c r="X422" s="125"/>
      <c r="Y422" s="50">
        <f t="shared" si="85"/>
        <v>0</v>
      </c>
      <c r="Z422" s="50">
        <f t="shared" si="86"/>
        <v>0</v>
      </c>
      <c r="AA422" s="55">
        <f t="shared" si="93"/>
        <v>0</v>
      </c>
      <c r="AB422" s="124">
        <f t="shared" si="91"/>
        <v>0</v>
      </c>
      <c r="AC422" s="80">
        <v>0.05</v>
      </c>
      <c r="AD422" s="125"/>
      <c r="AE422" s="79"/>
      <c r="AF422" s="79"/>
      <c r="AG422" s="78">
        <v>0.42</v>
      </c>
      <c r="AH422" s="55">
        <f t="shared" si="79"/>
        <v>0</v>
      </c>
      <c r="AI422" s="125">
        <v>0</v>
      </c>
      <c r="AJ422" s="55">
        <f t="shared" si="88"/>
        <v>0</v>
      </c>
      <c r="AK422" s="55">
        <v>0</v>
      </c>
      <c r="AL422" s="55">
        <f t="shared" si="89"/>
        <v>0</v>
      </c>
      <c r="AM422" s="55">
        <f t="shared" si="92"/>
        <v>0</v>
      </c>
      <c r="AN422" s="74"/>
    </row>
    <row r="423" spans="1:40" hidden="1" x14ac:dyDescent="0.25">
      <c r="A423" s="123" t="s">
        <v>293</v>
      </c>
      <c r="B423" s="79" t="s">
        <v>71</v>
      </c>
      <c r="C423" s="79" t="s">
        <v>193</v>
      </c>
      <c r="D423" s="79" t="s">
        <v>194</v>
      </c>
      <c r="E423" s="127" t="s">
        <v>291</v>
      </c>
      <c r="F423" s="127" t="s">
        <v>292</v>
      </c>
      <c r="G423" s="127" t="s">
        <v>76</v>
      </c>
      <c r="H423" s="79" t="s">
        <v>77</v>
      </c>
      <c r="I423" s="79" t="s">
        <v>78</v>
      </c>
      <c r="J423" s="79" t="s">
        <v>78</v>
      </c>
      <c r="K423" s="79" t="s">
        <v>3</v>
      </c>
      <c r="L423" s="127" t="s">
        <v>291</v>
      </c>
      <c r="M423" s="79"/>
      <c r="N423" s="79" t="s">
        <v>80</v>
      </c>
      <c r="O423" s="79" t="s">
        <v>81</v>
      </c>
      <c r="P423" s="78">
        <v>0</v>
      </c>
      <c r="Q423" s="79"/>
      <c r="R423" s="79"/>
      <c r="S423" s="55">
        <v>21002.44</v>
      </c>
      <c r="T423" s="55"/>
      <c r="U423" s="55">
        <v>0</v>
      </c>
      <c r="V423" s="55">
        <f t="shared" si="78"/>
        <v>21002.44</v>
      </c>
      <c r="W423" s="55">
        <f t="shared" si="90"/>
        <v>0</v>
      </c>
      <c r="X423" s="125"/>
      <c r="Y423" s="50">
        <f t="shared" si="85"/>
        <v>0</v>
      </c>
      <c r="Z423" s="50">
        <f t="shared" si="86"/>
        <v>0</v>
      </c>
      <c r="AA423" s="55">
        <f t="shared" si="93"/>
        <v>0</v>
      </c>
      <c r="AB423" s="124">
        <f t="shared" si="91"/>
        <v>0</v>
      </c>
      <c r="AC423" s="80">
        <v>0.05</v>
      </c>
      <c r="AD423" s="79"/>
      <c r="AE423" s="79"/>
      <c r="AF423" s="79"/>
      <c r="AG423" s="78">
        <v>0</v>
      </c>
      <c r="AH423" s="55">
        <f t="shared" si="79"/>
        <v>0</v>
      </c>
      <c r="AI423" s="125">
        <v>0</v>
      </c>
      <c r="AJ423" s="125">
        <v>0</v>
      </c>
      <c r="AK423" s="55">
        <v>0</v>
      </c>
      <c r="AL423" s="125">
        <v>0</v>
      </c>
      <c r="AM423" s="55">
        <f t="shared" si="92"/>
        <v>0</v>
      </c>
      <c r="AN423" s="74"/>
    </row>
    <row r="424" spans="1:40" hidden="1" x14ac:dyDescent="0.25">
      <c r="A424" s="123" t="s">
        <v>293</v>
      </c>
      <c r="B424" s="79" t="s">
        <v>3</v>
      </c>
      <c r="C424" s="79" t="s">
        <v>72</v>
      </c>
      <c r="D424" s="79" t="s">
        <v>187</v>
      </c>
      <c r="E424" s="79" t="s">
        <v>188</v>
      </c>
      <c r="F424" s="79" t="s">
        <v>188</v>
      </c>
      <c r="G424" s="79" t="s">
        <v>188</v>
      </c>
      <c r="H424" s="79" t="s">
        <v>77</v>
      </c>
      <c r="I424" s="79" t="s">
        <v>78</v>
      </c>
      <c r="J424" s="79" t="s">
        <v>78</v>
      </c>
      <c r="K424" s="79" t="s">
        <v>3</v>
      </c>
      <c r="L424" s="79" t="s">
        <v>188</v>
      </c>
      <c r="M424" s="79"/>
      <c r="N424" s="79" t="s">
        <v>86</v>
      </c>
      <c r="O424" s="79" t="s">
        <v>94</v>
      </c>
      <c r="P424" s="78">
        <v>0.05</v>
      </c>
      <c r="Q424" s="79"/>
      <c r="R424" s="79"/>
      <c r="S424" s="55">
        <v>0</v>
      </c>
      <c r="T424" s="55"/>
      <c r="U424" s="55">
        <v>7.31</v>
      </c>
      <c r="V424" s="55">
        <f t="shared" si="78"/>
        <v>-7.31</v>
      </c>
      <c r="W424" s="55">
        <f t="shared" si="90"/>
        <v>7.0507801418439708</v>
      </c>
      <c r="X424" s="125"/>
      <c r="Y424" s="50">
        <f t="shared" si="85"/>
        <v>0</v>
      </c>
      <c r="Z424" s="50">
        <f t="shared" si="86"/>
        <v>11.028368794326241</v>
      </c>
      <c r="AA424" s="55">
        <f t="shared" si="93"/>
        <v>0.25921985815602877</v>
      </c>
      <c r="AB424" s="124">
        <f t="shared" si="91"/>
        <v>7.31</v>
      </c>
      <c r="AC424" s="80">
        <v>0.05</v>
      </c>
      <c r="AD424" s="125"/>
      <c r="AE424" s="79"/>
      <c r="AF424" s="79"/>
      <c r="AG424" s="78">
        <v>0.36</v>
      </c>
      <c r="AH424" s="55">
        <f t="shared" si="79"/>
        <v>11.433823529411766</v>
      </c>
      <c r="AI424" s="125">
        <v>0</v>
      </c>
      <c r="AJ424" s="55">
        <f>T424*AG424</f>
        <v>0</v>
      </c>
      <c r="AK424" s="55">
        <v>15.55</v>
      </c>
      <c r="AL424" s="55">
        <f>AI424+AJ424-AK424+U424</f>
        <v>-8.240000000000002</v>
      </c>
      <c r="AM424" s="55">
        <f t="shared" si="92"/>
        <v>11.028368794326241</v>
      </c>
      <c r="AN424" s="99">
        <f>AM424-W424</f>
        <v>3.9775886524822699</v>
      </c>
    </row>
    <row r="425" spans="1:40" hidden="1" x14ac:dyDescent="0.25">
      <c r="A425" s="123" t="s">
        <v>293</v>
      </c>
      <c r="B425" s="52" t="s">
        <v>71</v>
      </c>
      <c r="C425" s="52" t="s">
        <v>82</v>
      </c>
      <c r="D425" s="52" t="s">
        <v>83</v>
      </c>
      <c r="E425" s="52" t="s">
        <v>277</v>
      </c>
      <c r="F425" s="52" t="s">
        <v>278</v>
      </c>
      <c r="G425" s="52" t="s">
        <v>76</v>
      </c>
      <c r="H425" s="52" t="s">
        <v>77</v>
      </c>
      <c r="I425" s="79" t="s">
        <v>78</v>
      </c>
      <c r="J425" s="79" t="s">
        <v>78</v>
      </c>
      <c r="K425" s="79" t="s">
        <v>3</v>
      </c>
      <c r="N425" s="52" t="s">
        <v>212</v>
      </c>
      <c r="O425" s="52" t="s">
        <v>81</v>
      </c>
      <c r="P425" s="105">
        <v>0</v>
      </c>
      <c r="S425" s="128">
        <v>0</v>
      </c>
      <c r="T425" s="104">
        <v>213617.35</v>
      </c>
      <c r="U425" s="104">
        <v>213617.35</v>
      </c>
      <c r="V425" s="104"/>
      <c r="W425" s="104">
        <v>213617.35</v>
      </c>
      <c r="X425" s="104"/>
      <c r="Y425" s="50">
        <f t="shared" si="85"/>
        <v>0</v>
      </c>
      <c r="Z425" s="50">
        <f t="shared" si="86"/>
        <v>213617.35</v>
      </c>
      <c r="AA425" s="55">
        <f t="shared" si="93"/>
        <v>0</v>
      </c>
      <c r="AB425" s="104">
        <v>213617.35</v>
      </c>
      <c r="AC425" s="105">
        <v>0</v>
      </c>
      <c r="AD425" s="104">
        <f>AB425*AC425</f>
        <v>0</v>
      </c>
      <c r="AG425" s="105">
        <v>0</v>
      </c>
      <c r="AN425" s="74"/>
    </row>
    <row r="426" spans="1:40" hidden="1" x14ac:dyDescent="0.25">
      <c r="A426" s="123" t="s">
        <v>293</v>
      </c>
      <c r="B426" s="52" t="s">
        <v>3</v>
      </c>
      <c r="C426" s="52" t="s">
        <v>82</v>
      </c>
      <c r="D426" s="52" t="s">
        <v>83</v>
      </c>
      <c r="E426" s="52" t="s">
        <v>88</v>
      </c>
      <c r="F426" s="52" t="s">
        <v>88</v>
      </c>
      <c r="G426" s="52" t="s">
        <v>88</v>
      </c>
      <c r="H426" s="52" t="s">
        <v>77</v>
      </c>
      <c r="I426" s="79" t="s">
        <v>78</v>
      </c>
      <c r="J426" s="79" t="s">
        <v>78</v>
      </c>
      <c r="K426" s="79" t="s">
        <v>3</v>
      </c>
      <c r="N426" s="52" t="s">
        <v>201</v>
      </c>
      <c r="O426" s="52" t="s">
        <v>81</v>
      </c>
      <c r="P426" s="105">
        <v>0</v>
      </c>
      <c r="S426" s="128">
        <v>0</v>
      </c>
      <c r="T426" s="104">
        <v>3704750</v>
      </c>
      <c r="U426" s="104">
        <v>6410256.4100000001</v>
      </c>
      <c r="V426" s="104"/>
      <c r="W426" s="104">
        <v>6410256.4100000001</v>
      </c>
      <c r="X426" s="104">
        <v>384615.38433962298</v>
      </c>
      <c r="Y426" s="50">
        <f t="shared" si="85"/>
        <v>2705506.41</v>
      </c>
      <c r="Z426" s="50">
        <f t="shared" si="86"/>
        <v>6794871.7943396233</v>
      </c>
      <c r="AA426" s="55">
        <f t="shared" si="93"/>
        <v>0</v>
      </c>
      <c r="AB426" s="104">
        <v>3704750</v>
      </c>
      <c r="AC426" s="105">
        <v>0.05</v>
      </c>
      <c r="AD426" s="104">
        <f t="shared" ref="AD426:AD427" si="94">AB426*AC426</f>
        <v>185237.5</v>
      </c>
      <c r="AG426" s="105">
        <v>0</v>
      </c>
      <c r="AN426" s="74"/>
    </row>
    <row r="427" spans="1:40" hidden="1" x14ac:dyDescent="0.25">
      <c r="A427" s="123" t="s">
        <v>293</v>
      </c>
      <c r="B427" s="52" t="s">
        <v>3</v>
      </c>
      <c r="C427" s="52" t="s">
        <v>95</v>
      </c>
      <c r="D427" s="52" t="s">
        <v>96</v>
      </c>
      <c r="E427" s="52" t="s">
        <v>192</v>
      </c>
      <c r="F427" s="52" t="s">
        <v>192</v>
      </c>
      <c r="G427" s="52" t="s">
        <v>192</v>
      </c>
      <c r="H427" s="52" t="s">
        <v>77</v>
      </c>
      <c r="I427" s="79" t="s">
        <v>78</v>
      </c>
      <c r="J427" s="79" t="s">
        <v>78</v>
      </c>
      <c r="K427" s="79" t="s">
        <v>3</v>
      </c>
      <c r="N427" s="52" t="s">
        <v>201</v>
      </c>
      <c r="O427" s="52" t="s">
        <v>81</v>
      </c>
      <c r="P427" s="105">
        <v>0</v>
      </c>
      <c r="S427" s="128">
        <v>0</v>
      </c>
      <c r="T427" s="104">
        <v>95400</v>
      </c>
      <c r="U427" s="104">
        <v>95400</v>
      </c>
      <c r="V427" s="104"/>
      <c r="W427" s="104">
        <v>95400</v>
      </c>
      <c r="X427" s="104"/>
      <c r="Y427" s="50">
        <f t="shared" si="85"/>
        <v>0</v>
      </c>
      <c r="Z427" s="50">
        <f t="shared" si="86"/>
        <v>95400</v>
      </c>
      <c r="AA427" s="55">
        <f t="shared" si="93"/>
        <v>0</v>
      </c>
      <c r="AB427" s="104">
        <v>95400</v>
      </c>
      <c r="AC427" s="105">
        <v>0.05</v>
      </c>
      <c r="AD427" s="104">
        <f t="shared" si="94"/>
        <v>4770</v>
      </c>
      <c r="AG427" s="105">
        <v>0</v>
      </c>
      <c r="AN427" s="74"/>
    </row>
    <row r="428" spans="1:40" hidden="1" x14ac:dyDescent="0.25">
      <c r="A428" s="123" t="s">
        <v>293</v>
      </c>
      <c r="B428" s="79" t="s">
        <v>71</v>
      </c>
      <c r="C428" s="79" t="s">
        <v>82</v>
      </c>
      <c r="D428" s="79" t="s">
        <v>208</v>
      </c>
      <c r="E428" s="79" t="s">
        <v>214</v>
      </c>
      <c r="F428" s="79" t="s">
        <v>264</v>
      </c>
      <c r="G428" s="79" t="s">
        <v>76</v>
      </c>
      <c r="H428" s="79" t="s">
        <v>210</v>
      </c>
      <c r="I428" s="79" t="s">
        <v>203</v>
      </c>
      <c r="J428" s="79" t="s">
        <v>284</v>
      </c>
      <c r="K428" s="79" t="s">
        <v>3</v>
      </c>
      <c r="L428" s="79" t="s">
        <v>214</v>
      </c>
      <c r="M428" s="79"/>
      <c r="N428" s="79" t="s">
        <v>212</v>
      </c>
      <c r="O428" s="79" t="s">
        <v>249</v>
      </c>
      <c r="P428" s="80">
        <v>0.99</v>
      </c>
      <c r="Q428" s="79"/>
      <c r="R428" s="79"/>
      <c r="S428" s="55">
        <v>0</v>
      </c>
      <c r="T428" s="55">
        <v>0</v>
      </c>
      <c r="U428" s="55">
        <v>14850000</v>
      </c>
      <c r="V428" s="55">
        <v>0</v>
      </c>
      <c r="W428" s="55">
        <v>14701500</v>
      </c>
      <c r="X428" s="124"/>
      <c r="Y428" s="50">
        <f t="shared" si="85"/>
        <v>0</v>
      </c>
      <c r="Z428" s="50">
        <f t="shared" si="86"/>
        <v>14701500</v>
      </c>
      <c r="AA428" s="55">
        <f t="shared" si="93"/>
        <v>148500</v>
      </c>
      <c r="AB428" s="55">
        <v>14850000</v>
      </c>
      <c r="AC428" s="80">
        <v>0</v>
      </c>
      <c r="AD428" s="129">
        <v>0</v>
      </c>
      <c r="AE428" s="79"/>
      <c r="AF428" s="79"/>
      <c r="AG428" s="80">
        <v>0</v>
      </c>
      <c r="AH428" s="124"/>
      <c r="AI428" s="79"/>
      <c r="AJ428" s="79"/>
      <c r="AK428" s="79"/>
      <c r="AL428" s="79"/>
      <c r="AM428" s="79"/>
      <c r="AN428" s="74"/>
    </row>
    <row r="429" spans="1:40" hidden="1" x14ac:dyDescent="0.25">
      <c r="A429" s="130" t="s">
        <v>70</v>
      </c>
      <c r="B429" s="79" t="s">
        <v>71</v>
      </c>
      <c r="C429" s="79" t="s">
        <v>193</v>
      </c>
      <c r="D429" s="52" t="s">
        <v>194</v>
      </c>
      <c r="E429" s="52" t="s">
        <v>295</v>
      </c>
      <c r="F429" s="52" t="s">
        <v>295</v>
      </c>
      <c r="G429" s="52" t="s">
        <v>295</v>
      </c>
      <c r="H429" s="79" t="s">
        <v>77</v>
      </c>
      <c r="I429" s="79" t="s">
        <v>78</v>
      </c>
      <c r="J429" s="79" t="s">
        <v>78</v>
      </c>
      <c r="K429" s="79" t="s">
        <v>3</v>
      </c>
      <c r="L429" s="52" t="s">
        <v>296</v>
      </c>
      <c r="N429" s="79" t="s">
        <v>80</v>
      </c>
      <c r="O429" s="79" t="s">
        <v>81</v>
      </c>
      <c r="P429" s="78">
        <v>0</v>
      </c>
      <c r="S429" s="55">
        <v>6227.55</v>
      </c>
      <c r="U429" s="52"/>
      <c r="V429" s="55">
        <v>0</v>
      </c>
      <c r="W429" s="55">
        <f t="shared" ref="W429:W435" si="95">IF(O429="返现",U429,U429*(1+AG429)/(1+P429+AG429))</f>
        <v>0</v>
      </c>
      <c r="Y429" s="50">
        <f t="shared" si="85"/>
        <v>0</v>
      </c>
      <c r="Z429" s="50">
        <f t="shared" si="86"/>
        <v>0</v>
      </c>
      <c r="AB429" s="124">
        <f t="shared" ref="AB429:AB438" si="96">U429</f>
        <v>0</v>
      </c>
      <c r="AG429" s="80">
        <v>0</v>
      </c>
    </row>
    <row r="430" spans="1:40" hidden="1" x14ac:dyDescent="0.25">
      <c r="A430" s="130" t="s">
        <v>236</v>
      </c>
      <c r="B430" s="79" t="s">
        <v>71</v>
      </c>
      <c r="C430" s="79" t="s">
        <v>193</v>
      </c>
      <c r="D430" s="52" t="s">
        <v>194</v>
      </c>
      <c r="E430" s="52" t="s">
        <v>295</v>
      </c>
      <c r="F430" s="52" t="s">
        <v>295</v>
      </c>
      <c r="G430" s="52" t="s">
        <v>295</v>
      </c>
      <c r="H430" s="79" t="s">
        <v>77</v>
      </c>
      <c r="I430" s="79" t="s">
        <v>78</v>
      </c>
      <c r="J430" s="79" t="s">
        <v>78</v>
      </c>
      <c r="K430" s="79" t="s">
        <v>3</v>
      </c>
      <c r="L430" s="52" t="s">
        <v>296</v>
      </c>
      <c r="N430" s="79" t="s">
        <v>80</v>
      </c>
      <c r="O430" s="79" t="s">
        <v>81</v>
      </c>
      <c r="P430" s="78">
        <v>0</v>
      </c>
      <c r="S430" s="55">
        <v>6227.55</v>
      </c>
      <c r="U430" s="52"/>
      <c r="V430" s="55">
        <v>0</v>
      </c>
      <c r="W430" s="55">
        <f t="shared" si="95"/>
        <v>0</v>
      </c>
      <c r="Y430" s="50">
        <f t="shared" si="85"/>
        <v>0</v>
      </c>
      <c r="Z430" s="50">
        <f t="shared" si="86"/>
        <v>0</v>
      </c>
      <c r="AB430" s="124">
        <f t="shared" si="96"/>
        <v>0</v>
      </c>
      <c r="AG430" s="80">
        <v>0</v>
      </c>
    </row>
    <row r="431" spans="1:40" hidden="1" x14ac:dyDescent="0.25">
      <c r="A431" s="130" t="s">
        <v>240</v>
      </c>
      <c r="B431" s="79" t="s">
        <v>71</v>
      </c>
      <c r="C431" s="79" t="s">
        <v>193</v>
      </c>
      <c r="D431" s="52" t="s">
        <v>194</v>
      </c>
      <c r="E431" s="52" t="s">
        <v>295</v>
      </c>
      <c r="F431" s="52" t="s">
        <v>295</v>
      </c>
      <c r="G431" s="52" t="s">
        <v>295</v>
      </c>
      <c r="H431" s="79" t="s">
        <v>77</v>
      </c>
      <c r="I431" s="79" t="s">
        <v>78</v>
      </c>
      <c r="J431" s="79" t="s">
        <v>78</v>
      </c>
      <c r="K431" s="79" t="s">
        <v>3</v>
      </c>
      <c r="L431" s="52" t="s">
        <v>296</v>
      </c>
      <c r="N431" s="79" t="s">
        <v>80</v>
      </c>
      <c r="O431" s="79" t="s">
        <v>81</v>
      </c>
      <c r="P431" s="78">
        <v>0</v>
      </c>
      <c r="S431" s="55">
        <v>6227.55</v>
      </c>
      <c r="U431" s="52"/>
      <c r="V431" s="55">
        <v>0</v>
      </c>
      <c r="W431" s="55">
        <f t="shared" si="95"/>
        <v>0</v>
      </c>
      <c r="Y431" s="50">
        <f t="shared" si="85"/>
        <v>0</v>
      </c>
      <c r="Z431" s="50">
        <f t="shared" si="86"/>
        <v>0</v>
      </c>
      <c r="AB431" s="124">
        <f t="shared" si="96"/>
        <v>0</v>
      </c>
      <c r="AG431" s="80">
        <v>0</v>
      </c>
    </row>
    <row r="432" spans="1:40" hidden="1" x14ac:dyDescent="0.25">
      <c r="A432" s="130" t="s">
        <v>246</v>
      </c>
      <c r="B432" s="79" t="s">
        <v>71</v>
      </c>
      <c r="C432" s="79" t="s">
        <v>193</v>
      </c>
      <c r="D432" s="52" t="s">
        <v>194</v>
      </c>
      <c r="E432" s="52" t="s">
        <v>295</v>
      </c>
      <c r="F432" s="52" t="s">
        <v>295</v>
      </c>
      <c r="G432" s="52" t="s">
        <v>295</v>
      </c>
      <c r="H432" s="79" t="s">
        <v>77</v>
      </c>
      <c r="I432" s="79" t="s">
        <v>78</v>
      </c>
      <c r="J432" s="79" t="s">
        <v>78</v>
      </c>
      <c r="K432" s="79" t="s">
        <v>3</v>
      </c>
      <c r="L432" s="52" t="s">
        <v>296</v>
      </c>
      <c r="N432" s="79" t="s">
        <v>80</v>
      </c>
      <c r="O432" s="79" t="s">
        <v>81</v>
      </c>
      <c r="P432" s="78">
        <v>0</v>
      </c>
      <c r="S432" s="55">
        <v>6227.55</v>
      </c>
      <c r="U432" s="52"/>
      <c r="V432" s="55">
        <v>0</v>
      </c>
      <c r="W432" s="55">
        <f t="shared" si="95"/>
        <v>0</v>
      </c>
      <c r="Y432" s="50">
        <f t="shared" si="85"/>
        <v>0</v>
      </c>
      <c r="Z432" s="50">
        <f t="shared" si="86"/>
        <v>0</v>
      </c>
      <c r="AB432" s="124">
        <f t="shared" si="96"/>
        <v>0</v>
      </c>
      <c r="AG432" s="80">
        <v>0</v>
      </c>
    </row>
    <row r="433" spans="1:40" hidden="1" x14ac:dyDescent="0.25">
      <c r="A433" s="130" t="s">
        <v>259</v>
      </c>
      <c r="B433" s="79" t="s">
        <v>71</v>
      </c>
      <c r="C433" s="79" t="s">
        <v>193</v>
      </c>
      <c r="D433" s="52" t="s">
        <v>194</v>
      </c>
      <c r="E433" s="52" t="s">
        <v>295</v>
      </c>
      <c r="F433" s="52" t="s">
        <v>295</v>
      </c>
      <c r="G433" s="52" t="s">
        <v>295</v>
      </c>
      <c r="H433" s="79" t="s">
        <v>77</v>
      </c>
      <c r="I433" s="79" t="s">
        <v>78</v>
      </c>
      <c r="J433" s="79" t="s">
        <v>78</v>
      </c>
      <c r="K433" s="79" t="s">
        <v>3</v>
      </c>
      <c r="L433" s="52" t="s">
        <v>296</v>
      </c>
      <c r="N433" s="79" t="s">
        <v>80</v>
      </c>
      <c r="O433" s="79" t="s">
        <v>81</v>
      </c>
      <c r="P433" s="78">
        <v>0</v>
      </c>
      <c r="S433" s="55">
        <v>6227.55</v>
      </c>
      <c r="U433" s="52"/>
      <c r="V433" s="55">
        <v>0</v>
      </c>
      <c r="W433" s="55">
        <f t="shared" si="95"/>
        <v>0</v>
      </c>
      <c r="Y433" s="50">
        <f t="shared" si="85"/>
        <v>0</v>
      </c>
      <c r="Z433" s="50">
        <f t="shared" si="86"/>
        <v>0</v>
      </c>
      <c r="AB433" s="124">
        <f t="shared" si="96"/>
        <v>0</v>
      </c>
      <c r="AG433" s="80">
        <v>0</v>
      </c>
    </row>
    <row r="434" spans="1:40" hidden="1" x14ac:dyDescent="0.25">
      <c r="A434" s="130" t="s">
        <v>276</v>
      </c>
      <c r="B434" s="79" t="s">
        <v>71</v>
      </c>
      <c r="C434" s="79" t="s">
        <v>193</v>
      </c>
      <c r="D434" s="52" t="s">
        <v>194</v>
      </c>
      <c r="E434" s="52" t="s">
        <v>295</v>
      </c>
      <c r="F434" s="52" t="s">
        <v>295</v>
      </c>
      <c r="G434" s="52" t="s">
        <v>295</v>
      </c>
      <c r="H434" s="79" t="s">
        <v>77</v>
      </c>
      <c r="I434" s="79" t="s">
        <v>78</v>
      </c>
      <c r="J434" s="79" t="s">
        <v>78</v>
      </c>
      <c r="K434" s="79" t="s">
        <v>3</v>
      </c>
      <c r="L434" s="52" t="s">
        <v>296</v>
      </c>
      <c r="N434" s="79" t="s">
        <v>80</v>
      </c>
      <c r="O434" s="79" t="s">
        <v>81</v>
      </c>
      <c r="P434" s="78">
        <v>0</v>
      </c>
      <c r="S434" s="55">
        <v>6227.55</v>
      </c>
      <c r="U434" s="52"/>
      <c r="V434" s="55">
        <v>0</v>
      </c>
      <c r="W434" s="55">
        <f t="shared" si="95"/>
        <v>0</v>
      </c>
      <c r="Y434" s="50">
        <f t="shared" si="85"/>
        <v>0</v>
      </c>
      <c r="Z434" s="50">
        <f t="shared" si="86"/>
        <v>0</v>
      </c>
      <c r="AB434" s="124">
        <f t="shared" si="96"/>
        <v>0</v>
      </c>
      <c r="AG434" s="80">
        <v>0</v>
      </c>
    </row>
    <row r="435" spans="1:40" hidden="1" x14ac:dyDescent="0.25">
      <c r="A435" s="123" t="s">
        <v>293</v>
      </c>
      <c r="B435" s="79" t="s">
        <v>71</v>
      </c>
      <c r="C435" s="79" t="s">
        <v>193</v>
      </c>
      <c r="D435" s="52" t="s">
        <v>194</v>
      </c>
      <c r="E435" s="52" t="s">
        <v>295</v>
      </c>
      <c r="F435" s="52" t="s">
        <v>295</v>
      </c>
      <c r="G435" s="52" t="s">
        <v>295</v>
      </c>
      <c r="H435" s="79" t="s">
        <v>77</v>
      </c>
      <c r="I435" s="79" t="s">
        <v>78</v>
      </c>
      <c r="J435" s="79" t="s">
        <v>78</v>
      </c>
      <c r="K435" s="79" t="s">
        <v>3</v>
      </c>
      <c r="L435" s="52" t="s">
        <v>296</v>
      </c>
      <c r="N435" s="79" t="s">
        <v>80</v>
      </c>
      <c r="O435" s="79" t="s">
        <v>81</v>
      </c>
      <c r="P435" s="78">
        <v>0</v>
      </c>
      <c r="S435" s="55">
        <v>6227.55</v>
      </c>
      <c r="U435" s="52"/>
      <c r="V435" s="55">
        <v>0</v>
      </c>
      <c r="W435" s="55">
        <f t="shared" si="95"/>
        <v>0</v>
      </c>
      <c r="Y435" s="50">
        <f t="shared" si="85"/>
        <v>0</v>
      </c>
      <c r="Z435" s="50">
        <f t="shared" si="86"/>
        <v>0</v>
      </c>
      <c r="AB435" s="124">
        <f t="shared" si="96"/>
        <v>0</v>
      </c>
      <c r="AG435" s="80">
        <v>0</v>
      </c>
    </row>
    <row r="436" spans="1:40" s="139" customFormat="1" hidden="1" x14ac:dyDescent="0.25">
      <c r="A436" s="131" t="s">
        <v>297</v>
      </c>
      <c r="B436" s="132" t="s">
        <v>71</v>
      </c>
      <c r="C436" s="132" t="s">
        <v>82</v>
      </c>
      <c r="D436" s="132" t="s">
        <v>83</v>
      </c>
      <c r="E436" s="132" t="s">
        <v>277</v>
      </c>
      <c r="F436" s="132" t="s">
        <v>278</v>
      </c>
      <c r="G436" s="132" t="s">
        <v>76</v>
      </c>
      <c r="H436" s="132" t="s">
        <v>298</v>
      </c>
      <c r="I436" s="82" t="s">
        <v>78</v>
      </c>
      <c r="J436" s="82" t="s">
        <v>78</v>
      </c>
      <c r="K436" s="82" t="s">
        <v>3</v>
      </c>
      <c r="L436" s="132" t="s">
        <v>279</v>
      </c>
      <c r="M436" s="132"/>
      <c r="N436" s="132" t="s">
        <v>86</v>
      </c>
      <c r="O436" s="132" t="s">
        <v>94</v>
      </c>
      <c r="P436" s="133">
        <v>3.8399999999999997E-2</v>
      </c>
      <c r="Q436" s="134"/>
      <c r="R436" s="132"/>
      <c r="S436" s="135">
        <v>-11.610000000102399</v>
      </c>
      <c r="T436" s="135">
        <v>1030000</v>
      </c>
      <c r="U436" s="135">
        <v>0</v>
      </c>
      <c r="V436" s="136">
        <f t="shared" ref="V436:V493" si="97">S436+T436-U436</f>
        <v>1029988.3899999999</v>
      </c>
      <c r="W436" s="135">
        <f>IF(O436="返现",U436,IF(O436="折扣",U436*P436,U436*(1+AG436)/(1+P436+AG436)))</f>
        <v>0</v>
      </c>
      <c r="X436" s="132"/>
      <c r="Y436" s="50">
        <f t="shared" si="85"/>
        <v>0</v>
      </c>
      <c r="Z436" s="50">
        <f t="shared" si="86"/>
        <v>0</v>
      </c>
      <c r="AA436" s="137">
        <f t="shared" ref="AA436:AA467" si="98">U436-W436</f>
        <v>0</v>
      </c>
      <c r="AB436" s="136">
        <f t="shared" si="96"/>
        <v>0</v>
      </c>
      <c r="AC436" s="138">
        <v>0.05</v>
      </c>
      <c r="AD436" s="136">
        <f t="shared" ref="AD436:AD499" si="99">AB436*AC436</f>
        <v>0</v>
      </c>
      <c r="AE436" s="132"/>
      <c r="AF436" s="132"/>
      <c r="AG436" s="133">
        <v>0.28000000000000003</v>
      </c>
      <c r="AH436" s="136">
        <f t="shared" ref="AH436:AH493" si="100">AK436/(1+AG436)</f>
        <v>0</v>
      </c>
      <c r="AI436" s="135">
        <v>-279996.96999999997</v>
      </c>
      <c r="AJ436" s="136">
        <f t="shared" ref="AJ436:AJ467" si="101">T436*AG436</f>
        <v>288400</v>
      </c>
      <c r="AK436" s="135">
        <v>0</v>
      </c>
      <c r="AL436" s="136">
        <f t="shared" ref="AL436:AL467" si="102">AI436+AJ436-AK436+U436</f>
        <v>8403.0300000000279</v>
      </c>
      <c r="AM436" s="135">
        <f>IF(O436="返现",AK436/(1+AG436),IF(O436="折扣",AK436*P436,AK436/(1+P436+AG436)))</f>
        <v>0</v>
      </c>
    </row>
    <row r="437" spans="1:40" hidden="1" x14ac:dyDescent="0.25">
      <c r="A437" s="123" t="s">
        <v>297</v>
      </c>
      <c r="B437" s="132" t="s">
        <v>71</v>
      </c>
      <c r="C437" s="132" t="s">
        <v>82</v>
      </c>
      <c r="D437" s="132" t="s">
        <v>83</v>
      </c>
      <c r="E437" s="132" t="s">
        <v>280</v>
      </c>
      <c r="F437" s="132" t="s">
        <v>281</v>
      </c>
      <c r="G437" s="132" t="s">
        <v>76</v>
      </c>
      <c r="H437" s="132" t="s">
        <v>298</v>
      </c>
      <c r="I437" s="79" t="s">
        <v>78</v>
      </c>
      <c r="J437" s="79" t="s">
        <v>78</v>
      </c>
      <c r="K437" s="79" t="s">
        <v>3</v>
      </c>
      <c r="L437" s="132" t="s">
        <v>282</v>
      </c>
      <c r="M437" s="132"/>
      <c r="N437" s="132" t="s">
        <v>126</v>
      </c>
      <c r="O437" s="132" t="s">
        <v>94</v>
      </c>
      <c r="P437" s="140">
        <v>4.1399999999999999E-2</v>
      </c>
      <c r="Q437" s="134"/>
      <c r="R437" s="132"/>
      <c r="S437" s="141">
        <v>205262.73</v>
      </c>
      <c r="T437" s="141">
        <v>309000</v>
      </c>
      <c r="U437" s="141">
        <v>498712.43</v>
      </c>
      <c r="V437" s="136">
        <f t="shared" si="97"/>
        <v>15550.299999999988</v>
      </c>
      <c r="W437" s="141">
        <f>IF(O437="返现",U437,IF(O437="折扣",U437*P437,U437*(1+AG437)/(1+P437+AG437)))</f>
        <v>484186.82524271833</v>
      </c>
      <c r="X437" s="132"/>
      <c r="Y437" s="50">
        <f t="shared" si="85"/>
        <v>0</v>
      </c>
      <c r="Z437" s="50">
        <f t="shared" si="86"/>
        <v>484186.82524271833</v>
      </c>
      <c r="AA437" s="137">
        <f t="shared" si="98"/>
        <v>14525.604757281661</v>
      </c>
      <c r="AB437" s="136">
        <f t="shared" si="96"/>
        <v>498712.43</v>
      </c>
      <c r="AC437" s="138">
        <v>0.05</v>
      </c>
      <c r="AD437" s="136">
        <f t="shared" si="99"/>
        <v>24935.621500000001</v>
      </c>
      <c r="AE437" s="132"/>
      <c r="AF437" s="132"/>
      <c r="AG437" s="140">
        <v>0.38</v>
      </c>
      <c r="AH437" s="136">
        <f t="shared" si="100"/>
        <v>498860.00724637689</v>
      </c>
      <c r="AI437" s="141">
        <v>-150903.89420000001</v>
      </c>
      <c r="AJ437" s="136">
        <f t="shared" si="101"/>
        <v>117420</v>
      </c>
      <c r="AK437" s="141">
        <v>688426.81</v>
      </c>
      <c r="AL437" s="136">
        <f t="shared" si="102"/>
        <v>-223198.27420000004</v>
      </c>
      <c r="AM437" s="141">
        <f>IF(O437="返现",AK437/(1+AG437),IF(O437="折扣",AK437*P437,AK437/(1+P437+AG437)))</f>
        <v>484330.10412269592</v>
      </c>
      <c r="AN437" s="99"/>
    </row>
    <row r="438" spans="1:40" hidden="1" x14ac:dyDescent="0.25">
      <c r="A438" s="123" t="s">
        <v>297</v>
      </c>
      <c r="B438" s="132" t="s">
        <v>3</v>
      </c>
      <c r="C438" s="132" t="s">
        <v>82</v>
      </c>
      <c r="D438" s="132" t="s">
        <v>83</v>
      </c>
      <c r="E438" s="132" t="s">
        <v>247</v>
      </c>
      <c r="F438" s="132" t="s">
        <v>247</v>
      </c>
      <c r="G438" s="132" t="s">
        <v>247</v>
      </c>
      <c r="H438" s="132" t="s">
        <v>298</v>
      </c>
      <c r="I438" s="79" t="s">
        <v>78</v>
      </c>
      <c r="J438" s="79" t="s">
        <v>78</v>
      </c>
      <c r="K438" s="79" t="s">
        <v>3</v>
      </c>
      <c r="L438" s="132" t="s">
        <v>88</v>
      </c>
      <c r="M438" s="132"/>
      <c r="N438" s="132" t="s">
        <v>126</v>
      </c>
      <c r="O438" s="132" t="s">
        <v>81</v>
      </c>
      <c r="P438" s="140">
        <v>0</v>
      </c>
      <c r="Q438" s="134"/>
      <c r="R438" s="132" t="s">
        <v>54</v>
      </c>
      <c r="S438" s="141">
        <v>-1.8900000000066901</v>
      </c>
      <c r="T438" s="141">
        <v>200000</v>
      </c>
      <c r="U438" s="141">
        <v>200009.46</v>
      </c>
      <c r="V438" s="136">
        <f t="shared" si="97"/>
        <v>-11.350000000005821</v>
      </c>
      <c r="W438" s="141">
        <v>1296657.8500000001</v>
      </c>
      <c r="X438" s="132"/>
      <c r="Y438" s="50">
        <f t="shared" si="85"/>
        <v>1096648.3900000001</v>
      </c>
      <c r="Z438" s="50">
        <f t="shared" si="86"/>
        <v>1296657.8500000001</v>
      </c>
      <c r="AA438" s="137">
        <f t="shared" si="98"/>
        <v>-1096648.3900000001</v>
      </c>
      <c r="AB438" s="136">
        <f t="shared" si="96"/>
        <v>200009.46</v>
      </c>
      <c r="AC438" s="138">
        <v>0.05</v>
      </c>
      <c r="AD438" s="136">
        <f t="shared" si="99"/>
        <v>10000.473</v>
      </c>
      <c r="AE438" s="132"/>
      <c r="AF438" s="132"/>
      <c r="AG438" s="140">
        <v>0.24</v>
      </c>
      <c r="AH438" s="136">
        <f t="shared" si="100"/>
        <v>209570.19354838709</v>
      </c>
      <c r="AI438" s="141">
        <v>95868.931200000006</v>
      </c>
      <c r="AJ438" s="136">
        <f t="shared" si="101"/>
        <v>48000</v>
      </c>
      <c r="AK438" s="141">
        <v>259867.04</v>
      </c>
      <c r="AL438" s="136">
        <f t="shared" si="102"/>
        <v>84011.351199999976</v>
      </c>
      <c r="AM438" s="141">
        <f>W438</f>
        <v>1296657.8500000001</v>
      </c>
      <c r="AN438" s="99">
        <f>AM438-W438</f>
        <v>0</v>
      </c>
    </row>
    <row r="439" spans="1:40" hidden="1" x14ac:dyDescent="0.25">
      <c r="A439" s="123" t="s">
        <v>297</v>
      </c>
      <c r="B439" s="132" t="s">
        <v>3</v>
      </c>
      <c r="C439" s="132" t="s">
        <v>82</v>
      </c>
      <c r="D439" s="132" t="s">
        <v>83</v>
      </c>
      <c r="E439" s="132" t="s">
        <v>248</v>
      </c>
      <c r="F439" s="132" t="s">
        <v>248</v>
      </c>
      <c r="G439" s="132" t="s">
        <v>248</v>
      </c>
      <c r="H439" s="132" t="s">
        <v>298</v>
      </c>
      <c r="I439" s="79" t="s">
        <v>78</v>
      </c>
      <c r="J439" s="79" t="s">
        <v>78</v>
      </c>
      <c r="K439" s="79" t="s">
        <v>3</v>
      </c>
      <c r="L439" s="132" t="s">
        <v>88</v>
      </c>
      <c r="M439" s="132"/>
      <c r="N439" s="132" t="s">
        <v>86</v>
      </c>
      <c r="O439" s="132" t="s">
        <v>249</v>
      </c>
      <c r="P439" s="140">
        <v>0.98</v>
      </c>
      <c r="Q439" s="134"/>
      <c r="R439" s="132" t="s">
        <v>54</v>
      </c>
      <c r="S439" s="141">
        <v>0.35000000003492499</v>
      </c>
      <c r="T439" s="141">
        <v>100000</v>
      </c>
      <c r="U439" s="141">
        <v>99976.65</v>
      </c>
      <c r="V439" s="136">
        <f t="shared" si="97"/>
        <v>23.700000000040745</v>
      </c>
      <c r="W439" s="141">
        <v>662480</v>
      </c>
      <c r="X439" s="132"/>
      <c r="Y439" s="50">
        <f t="shared" si="85"/>
        <v>562480</v>
      </c>
      <c r="Z439" s="50">
        <f t="shared" si="86"/>
        <v>662480</v>
      </c>
      <c r="AA439" s="137">
        <f t="shared" si="98"/>
        <v>-562503.35</v>
      </c>
      <c r="AB439" s="136">
        <v>100000</v>
      </c>
      <c r="AC439" s="138">
        <v>0.05</v>
      </c>
      <c r="AD439" s="136">
        <f t="shared" si="99"/>
        <v>5000</v>
      </c>
      <c r="AE439" s="132"/>
      <c r="AF439" s="132"/>
      <c r="AG439" s="140">
        <v>0.3</v>
      </c>
      <c r="AH439" s="136">
        <f t="shared" si="100"/>
        <v>99986.63846153846</v>
      </c>
      <c r="AI439" s="141">
        <v>45950.67</v>
      </c>
      <c r="AJ439" s="136">
        <f t="shared" si="101"/>
        <v>30000</v>
      </c>
      <c r="AK439" s="141">
        <v>129982.63</v>
      </c>
      <c r="AL439" s="136">
        <f t="shared" si="102"/>
        <v>45944.689999999988</v>
      </c>
      <c r="AM439" s="141">
        <f>W439</f>
        <v>662480</v>
      </c>
      <c r="AN439" s="99">
        <f>AM439-W439</f>
        <v>0</v>
      </c>
    </row>
    <row r="440" spans="1:40" hidden="1" x14ac:dyDescent="0.25">
      <c r="A440" s="123" t="s">
        <v>297</v>
      </c>
      <c r="B440" s="132" t="s">
        <v>3</v>
      </c>
      <c r="C440" s="132" t="s">
        <v>82</v>
      </c>
      <c r="D440" s="132" t="s">
        <v>83</v>
      </c>
      <c r="E440" s="132" t="s">
        <v>88</v>
      </c>
      <c r="F440" s="132" t="s">
        <v>88</v>
      </c>
      <c r="G440" s="132" t="s">
        <v>88</v>
      </c>
      <c r="H440" s="132" t="s">
        <v>298</v>
      </c>
      <c r="I440" s="79" t="s">
        <v>78</v>
      </c>
      <c r="J440" s="79" t="s">
        <v>78</v>
      </c>
      <c r="K440" s="79" t="s">
        <v>3</v>
      </c>
      <c r="L440" s="132" t="s">
        <v>88</v>
      </c>
      <c r="M440" s="132"/>
      <c r="N440" s="132" t="s">
        <v>86</v>
      </c>
      <c r="O440" s="132" t="s">
        <v>81</v>
      </c>
      <c r="P440" s="140">
        <v>0</v>
      </c>
      <c r="Q440" s="134"/>
      <c r="R440" s="132" t="s">
        <v>54</v>
      </c>
      <c r="S440" s="141">
        <v>1085791.1499999999</v>
      </c>
      <c r="T440" s="141">
        <v>932464.6</v>
      </c>
      <c r="U440" s="141">
        <v>1065957.03</v>
      </c>
      <c r="V440" s="136">
        <f t="shared" si="97"/>
        <v>952298.72</v>
      </c>
      <c r="W440" s="55">
        <v>1733830.44</v>
      </c>
      <c r="X440" s="55">
        <v>104029.826603774</v>
      </c>
      <c r="Y440" s="50">
        <f t="shared" si="85"/>
        <v>700000</v>
      </c>
      <c r="Z440" s="50">
        <f t="shared" si="86"/>
        <v>1837860.2666037739</v>
      </c>
      <c r="AA440" s="137">
        <f t="shared" si="98"/>
        <v>-667873.40999999992</v>
      </c>
      <c r="AB440" s="124">
        <v>1033830.44</v>
      </c>
      <c r="AC440" s="138">
        <v>0.05</v>
      </c>
      <c r="AD440" s="136">
        <f t="shared" si="99"/>
        <v>51691.521999999997</v>
      </c>
      <c r="AE440" s="132"/>
      <c r="AF440" s="132"/>
      <c r="AG440" s="140">
        <v>0.3</v>
      </c>
      <c r="AH440" s="136">
        <f t="shared" si="100"/>
        <v>1066025.5846153847</v>
      </c>
      <c r="AI440" s="141">
        <v>1175207.5520000099</v>
      </c>
      <c r="AJ440" s="136">
        <f t="shared" si="101"/>
        <v>279739.38</v>
      </c>
      <c r="AK440" s="141">
        <v>1385833.26</v>
      </c>
      <c r="AL440" s="136">
        <f t="shared" si="102"/>
        <v>1135070.7020000098</v>
      </c>
      <c r="AM440" s="141">
        <f>W440</f>
        <v>1733830.44</v>
      </c>
      <c r="AN440" s="99">
        <f>AM440-W440</f>
        <v>0</v>
      </c>
    </row>
    <row r="441" spans="1:40" hidden="1" x14ac:dyDescent="0.25">
      <c r="A441" s="123" t="s">
        <v>297</v>
      </c>
      <c r="B441" s="132" t="s">
        <v>71</v>
      </c>
      <c r="C441" s="132" t="s">
        <v>82</v>
      </c>
      <c r="D441" s="132" t="s">
        <v>83</v>
      </c>
      <c r="E441" s="132" t="s">
        <v>277</v>
      </c>
      <c r="F441" s="132" t="s">
        <v>278</v>
      </c>
      <c r="G441" s="132" t="s">
        <v>76</v>
      </c>
      <c r="H441" s="132" t="s">
        <v>298</v>
      </c>
      <c r="I441" s="79" t="s">
        <v>78</v>
      </c>
      <c r="J441" s="79" t="s">
        <v>78</v>
      </c>
      <c r="K441" s="79" t="s">
        <v>3</v>
      </c>
      <c r="L441" s="132" t="s">
        <v>279</v>
      </c>
      <c r="M441" s="132"/>
      <c r="N441" s="132" t="s">
        <v>126</v>
      </c>
      <c r="O441" s="132" t="s">
        <v>94</v>
      </c>
      <c r="P441" s="140">
        <v>4.1399999999999999E-2</v>
      </c>
      <c r="Q441" s="134"/>
      <c r="R441" s="132"/>
      <c r="S441" s="141">
        <v>520660.3</v>
      </c>
      <c r="T441" s="141"/>
      <c r="U441" s="141">
        <v>230189.1</v>
      </c>
      <c r="V441" s="136">
        <f t="shared" si="97"/>
        <v>290471.19999999995</v>
      </c>
      <c r="W441" s="141">
        <f t="shared" ref="W441:W472" si="103">IF(O441="返现",U441,IF(O441="折扣",U441*P441,U441*(1+AG441)/(1+P441+AG441)))</f>
        <v>223484.56310679606</v>
      </c>
      <c r="X441" s="132"/>
      <c r="Y441" s="50">
        <f t="shared" si="85"/>
        <v>0</v>
      </c>
      <c r="Z441" s="50">
        <f t="shared" si="86"/>
        <v>223484.56310679606</v>
      </c>
      <c r="AA441" s="137">
        <f t="shared" si="98"/>
        <v>6704.5368932039419</v>
      </c>
      <c r="AB441" s="136">
        <f t="shared" ref="AB441:AB472" si="104">U441</f>
        <v>230189.1</v>
      </c>
      <c r="AC441" s="138">
        <v>0.05</v>
      </c>
      <c r="AD441" s="136">
        <f t="shared" si="99"/>
        <v>11509.455000000002</v>
      </c>
      <c r="AE441" s="132"/>
      <c r="AF441" s="132"/>
      <c r="AG441" s="140">
        <v>0.38</v>
      </c>
      <c r="AH441" s="136">
        <f t="shared" si="100"/>
        <v>230601.14492753625</v>
      </c>
      <c r="AI441" s="141">
        <v>197542.8964</v>
      </c>
      <c r="AJ441" s="136">
        <f t="shared" si="101"/>
        <v>0</v>
      </c>
      <c r="AK441" s="141">
        <v>318229.58</v>
      </c>
      <c r="AL441" s="136">
        <f t="shared" si="102"/>
        <v>109502.41639999999</v>
      </c>
      <c r="AM441" s="141">
        <f t="shared" ref="AM441:AM472" si="105">IF(O441="返现",AK441/(1+AG441),IF(O441="折扣",AK441*P441,AK441/(1+P441+AG441)))</f>
        <v>223884.6067257633</v>
      </c>
      <c r="AN441" s="99"/>
    </row>
    <row r="442" spans="1:40" hidden="1" x14ac:dyDescent="0.25">
      <c r="A442" s="123" t="s">
        <v>297</v>
      </c>
      <c r="B442" s="132" t="s">
        <v>71</v>
      </c>
      <c r="C442" s="132" t="s">
        <v>193</v>
      </c>
      <c r="D442" s="132" t="s">
        <v>194</v>
      </c>
      <c r="E442" s="132" t="s">
        <v>195</v>
      </c>
      <c r="F442" s="132" t="s">
        <v>196</v>
      </c>
      <c r="G442" s="132" t="s">
        <v>76</v>
      </c>
      <c r="H442" s="132" t="s">
        <v>298</v>
      </c>
      <c r="I442" s="79" t="s">
        <v>78</v>
      </c>
      <c r="J442" s="79" t="s">
        <v>78</v>
      </c>
      <c r="K442" s="79" t="s">
        <v>3</v>
      </c>
      <c r="L442" s="132" t="s">
        <v>197</v>
      </c>
      <c r="M442" s="132"/>
      <c r="N442" s="132" t="s">
        <v>80</v>
      </c>
      <c r="O442" s="132" t="s">
        <v>81</v>
      </c>
      <c r="P442" s="140">
        <v>0</v>
      </c>
      <c r="Q442" s="134"/>
      <c r="R442" s="132"/>
      <c r="S442" s="141">
        <v>2956.69</v>
      </c>
      <c r="T442" s="141"/>
      <c r="U442" s="141">
        <v>0</v>
      </c>
      <c r="V442" s="136">
        <f t="shared" si="97"/>
        <v>2956.69</v>
      </c>
      <c r="W442" s="141">
        <f t="shared" si="103"/>
        <v>0</v>
      </c>
      <c r="X442" s="132"/>
      <c r="Y442" s="50">
        <f t="shared" si="85"/>
        <v>0</v>
      </c>
      <c r="Z442" s="50">
        <f t="shared" si="86"/>
        <v>0</v>
      </c>
      <c r="AA442" s="137">
        <f t="shared" si="98"/>
        <v>0</v>
      </c>
      <c r="AB442" s="136">
        <f t="shared" si="104"/>
        <v>0</v>
      </c>
      <c r="AC442" s="138">
        <v>0.05</v>
      </c>
      <c r="AD442" s="136">
        <f t="shared" si="99"/>
        <v>0</v>
      </c>
      <c r="AE442" s="132"/>
      <c r="AF442" s="132"/>
      <c r="AG442" s="140">
        <v>0.42</v>
      </c>
      <c r="AH442" s="136">
        <f t="shared" si="100"/>
        <v>0</v>
      </c>
      <c r="AI442" s="141">
        <v>0</v>
      </c>
      <c r="AJ442" s="136">
        <f t="shared" si="101"/>
        <v>0</v>
      </c>
      <c r="AK442" s="141">
        <v>0</v>
      </c>
      <c r="AL442" s="136">
        <f t="shared" si="102"/>
        <v>0</v>
      </c>
      <c r="AM442" s="141">
        <f t="shared" si="105"/>
        <v>0</v>
      </c>
    </row>
    <row r="443" spans="1:40" hidden="1" x14ac:dyDescent="0.25">
      <c r="A443" s="123" t="s">
        <v>297</v>
      </c>
      <c r="B443" s="132" t="s">
        <v>71</v>
      </c>
      <c r="C443" s="132" t="s">
        <v>100</v>
      </c>
      <c r="D443" s="132" t="s">
        <v>101</v>
      </c>
      <c r="E443" s="132" t="s">
        <v>112</v>
      </c>
      <c r="F443" s="132" t="s">
        <v>113</v>
      </c>
      <c r="G443" s="132" t="s">
        <v>76</v>
      </c>
      <c r="H443" s="132" t="s">
        <v>298</v>
      </c>
      <c r="I443" s="79" t="s">
        <v>78</v>
      </c>
      <c r="J443" s="79" t="s">
        <v>78</v>
      </c>
      <c r="K443" s="79" t="s">
        <v>3</v>
      </c>
      <c r="L443" s="132" t="s">
        <v>112</v>
      </c>
      <c r="M443" s="132"/>
      <c r="N443" s="132" t="s">
        <v>86</v>
      </c>
      <c r="O443" s="132" t="s">
        <v>81</v>
      </c>
      <c r="P443" s="140">
        <v>0</v>
      </c>
      <c r="Q443" s="134"/>
      <c r="R443" s="132"/>
      <c r="S443" s="141">
        <v>68893.700000000012</v>
      </c>
      <c r="T443" s="141"/>
      <c r="U443" s="141">
        <v>0.3</v>
      </c>
      <c r="V443" s="136">
        <f t="shared" si="97"/>
        <v>68893.400000000009</v>
      </c>
      <c r="W443" s="141">
        <f t="shared" si="103"/>
        <v>0.3</v>
      </c>
      <c r="X443" s="132"/>
      <c r="Y443" s="50">
        <f t="shared" si="85"/>
        <v>0</v>
      </c>
      <c r="Z443" s="50">
        <f t="shared" si="86"/>
        <v>0.3</v>
      </c>
      <c r="AA443" s="137">
        <f t="shared" si="98"/>
        <v>0</v>
      </c>
      <c r="AB443" s="136">
        <f t="shared" si="104"/>
        <v>0.3</v>
      </c>
      <c r="AC443" s="138">
        <v>0.05</v>
      </c>
      <c r="AD443" s="136">
        <f t="shared" si="99"/>
        <v>1.4999999999999999E-2</v>
      </c>
      <c r="AE443" s="132"/>
      <c r="AF443" s="132"/>
      <c r="AG443" s="140">
        <v>0</v>
      </c>
      <c r="AH443" s="136">
        <f t="shared" si="100"/>
        <v>0.3</v>
      </c>
      <c r="AI443" s="141">
        <v>0</v>
      </c>
      <c r="AJ443" s="136">
        <f t="shared" si="101"/>
        <v>0</v>
      </c>
      <c r="AK443" s="141">
        <v>0.3</v>
      </c>
      <c r="AL443" s="136">
        <f t="shared" si="102"/>
        <v>0</v>
      </c>
      <c r="AM443" s="141">
        <f t="shared" si="105"/>
        <v>0.3</v>
      </c>
      <c r="AN443" s="99"/>
    </row>
    <row r="444" spans="1:40" hidden="1" x14ac:dyDescent="0.25">
      <c r="A444" s="123" t="s">
        <v>297</v>
      </c>
      <c r="B444" s="132" t="s">
        <v>71</v>
      </c>
      <c r="C444" s="132" t="s">
        <v>90</v>
      </c>
      <c r="D444" s="132" t="s">
        <v>105</v>
      </c>
      <c r="E444" s="132" t="s">
        <v>106</v>
      </c>
      <c r="F444" s="132" t="s">
        <v>107</v>
      </c>
      <c r="G444" s="132" t="s">
        <v>76</v>
      </c>
      <c r="H444" s="132" t="s">
        <v>298</v>
      </c>
      <c r="I444" s="79" t="s">
        <v>78</v>
      </c>
      <c r="J444" s="79" t="s">
        <v>78</v>
      </c>
      <c r="K444" s="79" t="s">
        <v>3</v>
      </c>
      <c r="L444" s="132" t="s">
        <v>106</v>
      </c>
      <c r="M444" s="132"/>
      <c r="N444" s="132" t="s">
        <v>80</v>
      </c>
      <c r="O444" s="132" t="s">
        <v>81</v>
      </c>
      <c r="P444" s="140">
        <v>0</v>
      </c>
      <c r="Q444" s="134"/>
      <c r="R444" s="132"/>
      <c r="S444" s="141">
        <v>7741.65</v>
      </c>
      <c r="T444" s="141"/>
      <c r="U444" s="141">
        <v>0</v>
      </c>
      <c r="V444" s="136">
        <f t="shared" si="97"/>
        <v>7741.65</v>
      </c>
      <c r="W444" s="141">
        <f t="shared" si="103"/>
        <v>0</v>
      </c>
      <c r="X444" s="132"/>
      <c r="Y444" s="50">
        <f t="shared" si="85"/>
        <v>0</v>
      </c>
      <c r="Z444" s="50">
        <f t="shared" si="86"/>
        <v>0</v>
      </c>
      <c r="AA444" s="137">
        <f t="shared" si="98"/>
        <v>0</v>
      </c>
      <c r="AB444" s="136">
        <f t="shared" si="104"/>
        <v>0</v>
      </c>
      <c r="AC444" s="138">
        <v>0.05</v>
      </c>
      <c r="AD444" s="136">
        <f t="shared" si="99"/>
        <v>0</v>
      </c>
      <c r="AE444" s="132"/>
      <c r="AF444" s="132"/>
      <c r="AG444" s="140">
        <v>0.42</v>
      </c>
      <c r="AH444" s="136">
        <f t="shared" si="100"/>
        <v>0</v>
      </c>
      <c r="AI444" s="141">
        <v>0</v>
      </c>
      <c r="AJ444" s="136">
        <f t="shared" si="101"/>
        <v>0</v>
      </c>
      <c r="AK444" s="141">
        <v>0</v>
      </c>
      <c r="AL444" s="136">
        <f t="shared" si="102"/>
        <v>0</v>
      </c>
      <c r="AM444" s="141">
        <f t="shared" si="105"/>
        <v>0</v>
      </c>
    </row>
    <row r="445" spans="1:40" hidden="1" x14ac:dyDescent="0.25">
      <c r="A445" s="123" t="s">
        <v>297</v>
      </c>
      <c r="B445" s="132" t="s">
        <v>71</v>
      </c>
      <c r="C445" s="132" t="s">
        <v>90</v>
      </c>
      <c r="D445" s="132" t="s">
        <v>91</v>
      </c>
      <c r="E445" s="132" t="s">
        <v>92</v>
      </c>
      <c r="F445" s="132" t="s">
        <v>93</v>
      </c>
      <c r="G445" s="132" t="s">
        <v>76</v>
      </c>
      <c r="H445" s="132" t="s">
        <v>298</v>
      </c>
      <c r="I445" s="79" t="s">
        <v>78</v>
      </c>
      <c r="J445" s="79" t="s">
        <v>78</v>
      </c>
      <c r="K445" s="79" t="s">
        <v>3</v>
      </c>
      <c r="L445" s="132" t="s">
        <v>92</v>
      </c>
      <c r="M445" s="132"/>
      <c r="N445" s="132" t="s">
        <v>86</v>
      </c>
      <c r="O445" s="132" t="s">
        <v>81</v>
      </c>
      <c r="P445" s="140">
        <v>0</v>
      </c>
      <c r="Q445" s="134"/>
      <c r="R445" s="132"/>
      <c r="S445" s="141">
        <v>7.0399999999990497</v>
      </c>
      <c r="T445" s="141"/>
      <c r="U445" s="141">
        <v>0</v>
      </c>
      <c r="V445" s="136">
        <f t="shared" si="97"/>
        <v>7.0399999999990497</v>
      </c>
      <c r="W445" s="141">
        <f t="shared" si="103"/>
        <v>0</v>
      </c>
      <c r="X445" s="132"/>
      <c r="Y445" s="50">
        <f t="shared" si="85"/>
        <v>0</v>
      </c>
      <c r="Z445" s="50">
        <f t="shared" si="86"/>
        <v>0</v>
      </c>
      <c r="AA445" s="137">
        <f t="shared" si="98"/>
        <v>0</v>
      </c>
      <c r="AB445" s="136">
        <f t="shared" si="104"/>
        <v>0</v>
      </c>
      <c r="AC445" s="138">
        <v>0.05</v>
      </c>
      <c r="AD445" s="136">
        <f t="shared" si="99"/>
        <v>0</v>
      </c>
      <c r="AE445" s="132"/>
      <c r="AF445" s="132"/>
      <c r="AG445" s="140">
        <v>0</v>
      </c>
      <c r="AH445" s="136">
        <f t="shared" si="100"/>
        <v>0</v>
      </c>
      <c r="AI445" s="141">
        <v>0</v>
      </c>
      <c r="AJ445" s="136">
        <f t="shared" si="101"/>
        <v>0</v>
      </c>
      <c r="AK445" s="141">
        <v>0</v>
      </c>
      <c r="AL445" s="136">
        <f t="shared" si="102"/>
        <v>0</v>
      </c>
      <c r="AM445" s="141">
        <f t="shared" si="105"/>
        <v>0</v>
      </c>
    </row>
    <row r="446" spans="1:40" hidden="1" x14ac:dyDescent="0.25">
      <c r="A446" s="123" t="s">
        <v>297</v>
      </c>
      <c r="B446" s="132" t="s">
        <v>71</v>
      </c>
      <c r="C446" s="132" t="s">
        <v>90</v>
      </c>
      <c r="D446" s="132" t="s">
        <v>91</v>
      </c>
      <c r="E446" s="132" t="s">
        <v>103</v>
      </c>
      <c r="F446" s="132" t="s">
        <v>104</v>
      </c>
      <c r="G446" s="132" t="s">
        <v>76</v>
      </c>
      <c r="H446" s="132" t="s">
        <v>298</v>
      </c>
      <c r="I446" s="79" t="s">
        <v>78</v>
      </c>
      <c r="J446" s="79" t="s">
        <v>78</v>
      </c>
      <c r="K446" s="79" t="s">
        <v>3</v>
      </c>
      <c r="L446" s="132" t="s">
        <v>103</v>
      </c>
      <c r="M446" s="132"/>
      <c r="N446" s="132" t="s">
        <v>86</v>
      </c>
      <c r="O446" s="132" t="s">
        <v>94</v>
      </c>
      <c r="P446" s="140">
        <v>0.02</v>
      </c>
      <c r="Q446" s="134"/>
      <c r="R446" s="132"/>
      <c r="S446" s="141">
        <v>106099.63</v>
      </c>
      <c r="T446" s="141"/>
      <c r="U446" s="141">
        <v>0</v>
      </c>
      <c r="V446" s="136">
        <f t="shared" si="97"/>
        <v>106099.63</v>
      </c>
      <c r="W446" s="141">
        <f t="shared" si="103"/>
        <v>0</v>
      </c>
      <c r="X446" s="132"/>
      <c r="Y446" s="50">
        <f t="shared" si="85"/>
        <v>0</v>
      </c>
      <c r="Z446" s="50">
        <f t="shared" si="86"/>
        <v>0</v>
      </c>
      <c r="AA446" s="137">
        <f t="shared" si="98"/>
        <v>0</v>
      </c>
      <c r="AB446" s="136">
        <f t="shared" si="104"/>
        <v>0</v>
      </c>
      <c r="AC446" s="138">
        <v>0.05</v>
      </c>
      <c r="AD446" s="136">
        <f t="shared" si="99"/>
        <v>0</v>
      </c>
      <c r="AE446" s="132"/>
      <c r="AF446" s="132"/>
      <c r="AG446" s="140">
        <v>0.42</v>
      </c>
      <c r="AH446" s="136">
        <f t="shared" si="100"/>
        <v>0</v>
      </c>
      <c r="AI446" s="141">
        <v>0</v>
      </c>
      <c r="AJ446" s="136">
        <f t="shared" si="101"/>
        <v>0</v>
      </c>
      <c r="AK446" s="141">
        <v>0</v>
      </c>
      <c r="AL446" s="136">
        <f t="shared" si="102"/>
        <v>0</v>
      </c>
      <c r="AM446" s="141">
        <f t="shared" si="105"/>
        <v>0</v>
      </c>
    </row>
    <row r="447" spans="1:40" hidden="1" x14ac:dyDescent="0.25">
      <c r="A447" s="123" t="s">
        <v>297</v>
      </c>
      <c r="B447" s="132" t="s">
        <v>71</v>
      </c>
      <c r="C447" s="132" t="s">
        <v>72</v>
      </c>
      <c r="D447" s="132" t="s">
        <v>122</v>
      </c>
      <c r="E447" s="132" t="s">
        <v>123</v>
      </c>
      <c r="F447" s="132" t="s">
        <v>124</v>
      </c>
      <c r="G447" s="132" t="s">
        <v>76</v>
      </c>
      <c r="H447" s="132" t="s">
        <v>298</v>
      </c>
      <c r="I447" s="79" t="s">
        <v>78</v>
      </c>
      <c r="J447" s="79" t="s">
        <v>78</v>
      </c>
      <c r="K447" s="79" t="s">
        <v>3</v>
      </c>
      <c r="L447" s="132" t="s">
        <v>125</v>
      </c>
      <c r="M447" s="132"/>
      <c r="N447" s="132" t="s">
        <v>126</v>
      </c>
      <c r="O447" s="132" t="s">
        <v>94</v>
      </c>
      <c r="P447" s="140">
        <v>0.18</v>
      </c>
      <c r="Q447" s="134"/>
      <c r="R447" s="132"/>
      <c r="S447" s="141">
        <v>56718.13</v>
      </c>
      <c r="T447" s="141"/>
      <c r="U447" s="141">
        <v>0</v>
      </c>
      <c r="V447" s="136">
        <f t="shared" si="97"/>
        <v>56718.13</v>
      </c>
      <c r="W447" s="141">
        <f t="shared" si="103"/>
        <v>0</v>
      </c>
      <c r="X447" s="132"/>
      <c r="Y447" s="50">
        <f t="shared" si="85"/>
        <v>0</v>
      </c>
      <c r="Z447" s="50">
        <f t="shared" si="86"/>
        <v>0</v>
      </c>
      <c r="AA447" s="137">
        <f t="shared" si="98"/>
        <v>0</v>
      </c>
      <c r="AB447" s="136">
        <f t="shared" si="104"/>
        <v>0</v>
      </c>
      <c r="AC447" s="138">
        <v>0.05</v>
      </c>
      <c r="AD447" s="136">
        <f t="shared" si="99"/>
        <v>0</v>
      </c>
      <c r="AE447" s="132"/>
      <c r="AF447" s="132"/>
      <c r="AG447" s="140">
        <v>0.42</v>
      </c>
      <c r="AH447" s="136">
        <f t="shared" si="100"/>
        <v>0</v>
      </c>
      <c r="AI447" s="141">
        <v>-31596.52</v>
      </c>
      <c r="AJ447" s="136">
        <f t="shared" si="101"/>
        <v>0</v>
      </c>
      <c r="AK447" s="141">
        <v>0</v>
      </c>
      <c r="AL447" s="136">
        <f t="shared" si="102"/>
        <v>-31596.52</v>
      </c>
      <c r="AM447" s="141">
        <f t="shared" si="105"/>
        <v>0</v>
      </c>
    </row>
    <row r="448" spans="1:40" hidden="1" x14ac:dyDescent="0.25">
      <c r="A448" s="123" t="s">
        <v>297</v>
      </c>
      <c r="B448" s="132" t="s">
        <v>71</v>
      </c>
      <c r="C448" s="132" t="s">
        <v>72</v>
      </c>
      <c r="D448" s="132" t="s">
        <v>73</v>
      </c>
      <c r="E448" s="132" t="s">
        <v>74</v>
      </c>
      <c r="F448" s="132" t="s">
        <v>75</v>
      </c>
      <c r="G448" s="132" t="s">
        <v>76</v>
      </c>
      <c r="H448" s="132" t="s">
        <v>298</v>
      </c>
      <c r="I448" s="79" t="s">
        <v>78</v>
      </c>
      <c r="J448" s="79" t="s">
        <v>78</v>
      </c>
      <c r="K448" s="79" t="s">
        <v>3</v>
      </c>
      <c r="L448" s="132" t="s">
        <v>74</v>
      </c>
      <c r="M448" s="132"/>
      <c r="N448" s="132" t="s">
        <v>86</v>
      </c>
      <c r="O448" s="132" t="s">
        <v>94</v>
      </c>
      <c r="P448" s="140">
        <v>0.03</v>
      </c>
      <c r="Q448" s="134"/>
      <c r="R448" s="132"/>
      <c r="S448" s="141">
        <v>15888.8300000003</v>
      </c>
      <c r="T448" s="141"/>
      <c r="U448" s="141">
        <v>0</v>
      </c>
      <c r="V448" s="136">
        <f t="shared" si="97"/>
        <v>15888.8300000003</v>
      </c>
      <c r="W448" s="141">
        <f t="shared" si="103"/>
        <v>0</v>
      </c>
      <c r="X448" s="132"/>
      <c r="Y448" s="50">
        <f t="shared" si="85"/>
        <v>0</v>
      </c>
      <c r="Z448" s="50">
        <f t="shared" si="86"/>
        <v>0</v>
      </c>
      <c r="AA448" s="137">
        <f t="shared" si="98"/>
        <v>0</v>
      </c>
      <c r="AB448" s="136">
        <f t="shared" si="104"/>
        <v>0</v>
      </c>
      <c r="AC448" s="138">
        <v>0.05</v>
      </c>
      <c r="AD448" s="136">
        <f t="shared" si="99"/>
        <v>0</v>
      </c>
      <c r="AE448" s="132"/>
      <c r="AF448" s="132"/>
      <c r="AG448" s="140">
        <v>7.0000000000000007E-2</v>
      </c>
      <c r="AH448" s="136">
        <f t="shared" si="100"/>
        <v>0</v>
      </c>
      <c r="AI448" s="141">
        <v>-0.72000000000000097</v>
      </c>
      <c r="AJ448" s="136">
        <f t="shared" si="101"/>
        <v>0</v>
      </c>
      <c r="AK448" s="141">
        <v>0</v>
      </c>
      <c r="AL448" s="136">
        <f t="shared" si="102"/>
        <v>-0.72000000000000097</v>
      </c>
      <c r="AM448" s="141">
        <f t="shared" si="105"/>
        <v>0</v>
      </c>
    </row>
    <row r="449" spans="1:39" hidden="1" x14ac:dyDescent="0.25">
      <c r="A449" s="123" t="s">
        <v>297</v>
      </c>
      <c r="B449" s="132" t="s">
        <v>71</v>
      </c>
      <c r="C449" s="132" t="s">
        <v>72</v>
      </c>
      <c r="D449" s="132" t="s">
        <v>73</v>
      </c>
      <c r="E449" s="132" t="s">
        <v>74</v>
      </c>
      <c r="F449" s="132" t="s">
        <v>75</v>
      </c>
      <c r="G449" s="132" t="s">
        <v>76</v>
      </c>
      <c r="H449" s="132" t="s">
        <v>298</v>
      </c>
      <c r="I449" s="79" t="s">
        <v>78</v>
      </c>
      <c r="J449" s="79" t="s">
        <v>78</v>
      </c>
      <c r="K449" s="79" t="s">
        <v>3</v>
      </c>
      <c r="L449" s="132" t="s">
        <v>74</v>
      </c>
      <c r="M449" s="132"/>
      <c r="N449" s="132" t="s">
        <v>80</v>
      </c>
      <c r="O449" s="132" t="s">
        <v>94</v>
      </c>
      <c r="P449" s="140">
        <v>0.03</v>
      </c>
      <c r="Q449" s="134"/>
      <c r="R449" s="132"/>
      <c r="S449" s="141">
        <v>2383.1799999999998</v>
      </c>
      <c r="T449" s="141"/>
      <c r="U449" s="141">
        <v>0</v>
      </c>
      <c r="V449" s="136">
        <f t="shared" si="97"/>
        <v>2383.1799999999998</v>
      </c>
      <c r="W449" s="141">
        <f t="shared" si="103"/>
        <v>0</v>
      </c>
      <c r="X449" s="132"/>
      <c r="Y449" s="50">
        <f t="shared" si="85"/>
        <v>0</v>
      </c>
      <c r="Z449" s="50">
        <f t="shared" si="86"/>
        <v>0</v>
      </c>
      <c r="AA449" s="137">
        <f t="shared" si="98"/>
        <v>0</v>
      </c>
      <c r="AB449" s="136">
        <f t="shared" si="104"/>
        <v>0</v>
      </c>
      <c r="AC449" s="138">
        <v>0.05</v>
      </c>
      <c r="AD449" s="136">
        <f t="shared" si="99"/>
        <v>0</v>
      </c>
      <c r="AE449" s="132"/>
      <c r="AF449" s="132"/>
      <c r="AG449" s="140">
        <v>7.0000000000000007E-2</v>
      </c>
      <c r="AH449" s="136">
        <f t="shared" si="100"/>
        <v>0</v>
      </c>
      <c r="AI449" s="141">
        <v>0</v>
      </c>
      <c r="AJ449" s="136">
        <f t="shared" si="101"/>
        <v>0</v>
      </c>
      <c r="AK449" s="141">
        <v>0</v>
      </c>
      <c r="AL449" s="136">
        <f t="shared" si="102"/>
        <v>0</v>
      </c>
      <c r="AM449" s="141">
        <f t="shared" si="105"/>
        <v>0</v>
      </c>
    </row>
    <row r="450" spans="1:39" hidden="1" x14ac:dyDescent="0.25">
      <c r="A450" s="123" t="s">
        <v>297</v>
      </c>
      <c r="B450" s="132" t="s">
        <v>71</v>
      </c>
      <c r="C450" s="132" t="s">
        <v>82</v>
      </c>
      <c r="D450" s="132" t="s">
        <v>117</v>
      </c>
      <c r="E450" s="132" t="s">
        <v>118</v>
      </c>
      <c r="F450" s="132" t="s">
        <v>119</v>
      </c>
      <c r="G450" s="132" t="s">
        <v>76</v>
      </c>
      <c r="H450" s="132" t="s">
        <v>298</v>
      </c>
      <c r="I450" s="79" t="s">
        <v>78</v>
      </c>
      <c r="J450" s="79" t="s">
        <v>78</v>
      </c>
      <c r="K450" s="79" t="s">
        <v>3</v>
      </c>
      <c r="L450" s="132" t="s">
        <v>120</v>
      </c>
      <c r="M450" s="132"/>
      <c r="N450" s="132" t="s">
        <v>80</v>
      </c>
      <c r="O450" s="132" t="s">
        <v>94</v>
      </c>
      <c r="P450" s="140">
        <v>0.05</v>
      </c>
      <c r="Q450" s="134"/>
      <c r="R450" s="132"/>
      <c r="S450" s="141">
        <v>1766.24</v>
      </c>
      <c r="T450" s="141"/>
      <c r="U450" s="141">
        <v>0</v>
      </c>
      <c r="V450" s="136">
        <f t="shared" si="97"/>
        <v>1766.24</v>
      </c>
      <c r="W450" s="141">
        <f t="shared" si="103"/>
        <v>0</v>
      </c>
      <c r="X450" s="132"/>
      <c r="Y450" s="50">
        <f t="shared" ref="Y450:Y513" si="106">IF(W450-AB450&lt;0,0,IF(O450="返现",MAX(W450-AA450-AB450,0),MAX(W450-AB450,0)))</f>
        <v>0</v>
      </c>
      <c r="Z450" s="50">
        <f t="shared" ref="Z450:Z513" si="107">W450+X450+AN450</f>
        <v>0</v>
      </c>
      <c r="AA450" s="137">
        <f t="shared" si="98"/>
        <v>0</v>
      </c>
      <c r="AB450" s="136">
        <f t="shared" si="104"/>
        <v>0</v>
      </c>
      <c r="AC450" s="138">
        <v>0.05</v>
      </c>
      <c r="AD450" s="136">
        <f t="shared" si="99"/>
        <v>0</v>
      </c>
      <c r="AE450" s="132"/>
      <c r="AF450" s="132"/>
      <c r="AG450" s="140">
        <v>0.42</v>
      </c>
      <c r="AH450" s="136">
        <f t="shared" si="100"/>
        <v>0</v>
      </c>
      <c r="AI450" s="141">
        <v>0</v>
      </c>
      <c r="AJ450" s="136">
        <f t="shared" si="101"/>
        <v>0</v>
      </c>
      <c r="AK450" s="141">
        <v>0</v>
      </c>
      <c r="AL450" s="136">
        <f t="shared" si="102"/>
        <v>0</v>
      </c>
      <c r="AM450" s="141">
        <f t="shared" si="105"/>
        <v>0</v>
      </c>
    </row>
    <row r="451" spans="1:39" hidden="1" x14ac:dyDescent="0.25">
      <c r="A451" s="123" t="s">
        <v>297</v>
      </c>
      <c r="B451" s="132" t="s">
        <v>71</v>
      </c>
      <c r="C451" s="132" t="s">
        <v>127</v>
      </c>
      <c r="D451" s="132" t="s">
        <v>128</v>
      </c>
      <c r="E451" s="132" t="s">
        <v>129</v>
      </c>
      <c r="F451" s="132" t="s">
        <v>130</v>
      </c>
      <c r="G451" s="132" t="s">
        <v>76</v>
      </c>
      <c r="H451" s="132" t="s">
        <v>298</v>
      </c>
      <c r="I451" s="79" t="s">
        <v>78</v>
      </c>
      <c r="J451" s="79" t="s">
        <v>78</v>
      </c>
      <c r="K451" s="79" t="s">
        <v>3</v>
      </c>
      <c r="L451" s="132" t="s">
        <v>125</v>
      </c>
      <c r="M451" s="132"/>
      <c r="N451" s="132" t="s">
        <v>126</v>
      </c>
      <c r="O451" s="132" t="s">
        <v>94</v>
      </c>
      <c r="P451" s="140">
        <v>0.18</v>
      </c>
      <c r="Q451" s="134"/>
      <c r="R451" s="132"/>
      <c r="S451" s="141">
        <v>8102.9149295775096</v>
      </c>
      <c r="T451" s="141"/>
      <c r="U451" s="141">
        <v>0</v>
      </c>
      <c r="V451" s="136">
        <f t="shared" si="97"/>
        <v>8102.9149295775096</v>
      </c>
      <c r="W451" s="141">
        <f t="shared" si="103"/>
        <v>0</v>
      </c>
      <c r="X451" s="132"/>
      <c r="Y451" s="50">
        <f t="shared" si="106"/>
        <v>0</v>
      </c>
      <c r="Z451" s="50">
        <f t="shared" si="107"/>
        <v>0</v>
      </c>
      <c r="AA451" s="137">
        <f t="shared" si="98"/>
        <v>0</v>
      </c>
      <c r="AB451" s="136">
        <f t="shared" si="104"/>
        <v>0</v>
      </c>
      <c r="AC451" s="138">
        <v>0.05</v>
      </c>
      <c r="AD451" s="136">
        <f t="shared" si="99"/>
        <v>0</v>
      </c>
      <c r="AE451" s="132"/>
      <c r="AF451" s="132"/>
      <c r="AG451" s="140">
        <v>0.42</v>
      </c>
      <c r="AH451" s="136">
        <f t="shared" si="100"/>
        <v>0</v>
      </c>
      <c r="AI451" s="141">
        <v>0</v>
      </c>
      <c r="AJ451" s="136">
        <f t="shared" si="101"/>
        <v>0</v>
      </c>
      <c r="AK451" s="141">
        <v>0</v>
      </c>
      <c r="AL451" s="136">
        <f t="shared" si="102"/>
        <v>0</v>
      </c>
      <c r="AM451" s="141">
        <f t="shared" si="105"/>
        <v>0</v>
      </c>
    </row>
    <row r="452" spans="1:39" hidden="1" x14ac:dyDescent="0.25">
      <c r="A452" s="123" t="s">
        <v>297</v>
      </c>
      <c r="B452" s="132" t="s">
        <v>71</v>
      </c>
      <c r="C452" s="132" t="s">
        <v>127</v>
      </c>
      <c r="D452" s="132" t="s">
        <v>128</v>
      </c>
      <c r="E452" s="132" t="s">
        <v>151</v>
      </c>
      <c r="F452" s="132" t="s">
        <v>152</v>
      </c>
      <c r="G452" s="132" t="s">
        <v>76</v>
      </c>
      <c r="H452" s="132" t="s">
        <v>298</v>
      </c>
      <c r="I452" s="79" t="s">
        <v>78</v>
      </c>
      <c r="J452" s="79" t="s">
        <v>78</v>
      </c>
      <c r="K452" s="79" t="s">
        <v>3</v>
      </c>
      <c r="L452" s="132" t="s">
        <v>125</v>
      </c>
      <c r="M452" s="132"/>
      <c r="N452" s="132" t="s">
        <v>126</v>
      </c>
      <c r="O452" s="132" t="s">
        <v>94</v>
      </c>
      <c r="P452" s="46">
        <v>0.23</v>
      </c>
      <c r="Q452" s="134"/>
      <c r="R452" s="132"/>
      <c r="S452" s="141">
        <v>2063.5353521120301</v>
      </c>
      <c r="T452" s="141"/>
      <c r="U452" s="141">
        <v>0</v>
      </c>
      <c r="V452" s="136">
        <f t="shared" si="97"/>
        <v>2063.5353521120301</v>
      </c>
      <c r="W452" s="141">
        <f t="shared" si="103"/>
        <v>0</v>
      </c>
      <c r="X452" s="132"/>
      <c r="Y452" s="50">
        <f t="shared" si="106"/>
        <v>0</v>
      </c>
      <c r="Z452" s="50">
        <f t="shared" si="107"/>
        <v>0</v>
      </c>
      <c r="AA452" s="137">
        <f t="shared" si="98"/>
        <v>0</v>
      </c>
      <c r="AB452" s="136">
        <f t="shared" si="104"/>
        <v>0</v>
      </c>
      <c r="AC452" s="138">
        <v>0.05</v>
      </c>
      <c r="AD452" s="136">
        <f t="shared" si="99"/>
        <v>0</v>
      </c>
      <c r="AE452" s="132"/>
      <c r="AF452" s="132"/>
      <c r="AG452" s="140">
        <v>0.42</v>
      </c>
      <c r="AH452" s="136">
        <f t="shared" si="100"/>
        <v>0</v>
      </c>
      <c r="AI452" s="141">
        <v>0</v>
      </c>
      <c r="AJ452" s="136">
        <f t="shared" si="101"/>
        <v>0</v>
      </c>
      <c r="AK452" s="141">
        <v>0</v>
      </c>
      <c r="AL452" s="136">
        <f t="shared" si="102"/>
        <v>0</v>
      </c>
      <c r="AM452" s="141">
        <f t="shared" si="105"/>
        <v>0</v>
      </c>
    </row>
    <row r="453" spans="1:39" hidden="1" x14ac:dyDescent="0.25">
      <c r="A453" s="123" t="s">
        <v>297</v>
      </c>
      <c r="B453" s="132" t="s">
        <v>71</v>
      </c>
      <c r="C453" s="132" t="s">
        <v>127</v>
      </c>
      <c r="D453" s="132" t="s">
        <v>128</v>
      </c>
      <c r="E453" s="132" t="s">
        <v>131</v>
      </c>
      <c r="F453" s="132" t="s">
        <v>132</v>
      </c>
      <c r="G453" s="132" t="s">
        <v>76</v>
      </c>
      <c r="H453" s="132" t="s">
        <v>298</v>
      </c>
      <c r="I453" s="79" t="s">
        <v>78</v>
      </c>
      <c r="J453" s="79" t="s">
        <v>78</v>
      </c>
      <c r="K453" s="79" t="s">
        <v>3</v>
      </c>
      <c r="L453" s="132" t="s">
        <v>125</v>
      </c>
      <c r="M453" s="132"/>
      <c r="N453" s="132" t="s">
        <v>126</v>
      </c>
      <c r="O453" s="132" t="s">
        <v>94</v>
      </c>
      <c r="P453" s="140">
        <v>0.03</v>
      </c>
      <c r="Q453" s="134"/>
      <c r="R453" s="132"/>
      <c r="S453" s="141">
        <v>655.37999999978604</v>
      </c>
      <c r="T453" s="141"/>
      <c r="U453" s="141">
        <v>0</v>
      </c>
      <c r="V453" s="136">
        <f t="shared" si="97"/>
        <v>655.37999999978604</v>
      </c>
      <c r="W453" s="141">
        <f t="shared" si="103"/>
        <v>0</v>
      </c>
      <c r="X453" s="132"/>
      <c r="Y453" s="50">
        <f t="shared" si="106"/>
        <v>0</v>
      </c>
      <c r="Z453" s="50">
        <f t="shared" si="107"/>
        <v>0</v>
      </c>
      <c r="AA453" s="137">
        <f t="shared" si="98"/>
        <v>0</v>
      </c>
      <c r="AB453" s="136">
        <f t="shared" si="104"/>
        <v>0</v>
      </c>
      <c r="AC453" s="138">
        <v>0.05</v>
      </c>
      <c r="AD453" s="136">
        <f t="shared" si="99"/>
        <v>0</v>
      </c>
      <c r="AE453" s="132"/>
      <c r="AF453" s="132"/>
      <c r="AG453" s="140">
        <v>0.42</v>
      </c>
      <c r="AH453" s="136">
        <f t="shared" si="100"/>
        <v>0</v>
      </c>
      <c r="AI453" s="141">
        <v>0</v>
      </c>
      <c r="AJ453" s="136">
        <f t="shared" si="101"/>
        <v>0</v>
      </c>
      <c r="AK453" s="141">
        <v>0</v>
      </c>
      <c r="AL453" s="136">
        <f t="shared" si="102"/>
        <v>0</v>
      </c>
      <c r="AM453" s="141">
        <f t="shared" si="105"/>
        <v>0</v>
      </c>
    </row>
    <row r="454" spans="1:39" hidden="1" x14ac:dyDescent="0.25">
      <c r="A454" s="123" t="s">
        <v>297</v>
      </c>
      <c r="B454" s="132" t="s">
        <v>71</v>
      </c>
      <c r="C454" s="132" t="s">
        <v>127</v>
      </c>
      <c r="D454" s="132" t="s">
        <v>128</v>
      </c>
      <c r="E454" s="132" t="s">
        <v>133</v>
      </c>
      <c r="F454" s="132" t="s">
        <v>134</v>
      </c>
      <c r="G454" s="132" t="s">
        <v>76</v>
      </c>
      <c r="H454" s="132" t="s">
        <v>298</v>
      </c>
      <c r="I454" s="79" t="s">
        <v>78</v>
      </c>
      <c r="J454" s="79" t="s">
        <v>78</v>
      </c>
      <c r="K454" s="79" t="s">
        <v>3</v>
      </c>
      <c r="L454" s="132" t="s">
        <v>125</v>
      </c>
      <c r="M454" s="132"/>
      <c r="N454" s="132" t="s">
        <v>126</v>
      </c>
      <c r="O454" s="132" t="s">
        <v>94</v>
      </c>
      <c r="P454" s="140">
        <v>0.22</v>
      </c>
      <c r="Q454" s="134"/>
      <c r="R454" s="132"/>
      <c r="S454" s="141">
        <v>354.84000000002601</v>
      </c>
      <c r="T454" s="141"/>
      <c r="U454" s="141">
        <v>0</v>
      </c>
      <c r="V454" s="136">
        <f t="shared" si="97"/>
        <v>354.84000000002601</v>
      </c>
      <c r="W454" s="141">
        <f t="shared" si="103"/>
        <v>0</v>
      </c>
      <c r="X454" s="132"/>
      <c r="Y454" s="50">
        <f t="shared" si="106"/>
        <v>0</v>
      </c>
      <c r="Z454" s="50">
        <f t="shared" si="107"/>
        <v>0</v>
      </c>
      <c r="AA454" s="137">
        <f t="shared" si="98"/>
        <v>0</v>
      </c>
      <c r="AB454" s="136">
        <f t="shared" si="104"/>
        <v>0</v>
      </c>
      <c r="AC454" s="138">
        <v>0.05</v>
      </c>
      <c r="AD454" s="136">
        <f t="shared" si="99"/>
        <v>0</v>
      </c>
      <c r="AE454" s="132"/>
      <c r="AF454" s="132"/>
      <c r="AG454" s="140">
        <v>0.42</v>
      </c>
      <c r="AH454" s="136">
        <f t="shared" si="100"/>
        <v>0</v>
      </c>
      <c r="AI454" s="141">
        <v>0</v>
      </c>
      <c r="AJ454" s="136">
        <f t="shared" si="101"/>
        <v>0</v>
      </c>
      <c r="AK454" s="141">
        <v>0</v>
      </c>
      <c r="AL454" s="136">
        <f t="shared" si="102"/>
        <v>0</v>
      </c>
      <c r="AM454" s="141">
        <f t="shared" si="105"/>
        <v>0</v>
      </c>
    </row>
    <row r="455" spans="1:39" hidden="1" x14ac:dyDescent="0.25">
      <c r="A455" s="123" t="s">
        <v>297</v>
      </c>
      <c r="B455" s="132" t="s">
        <v>71</v>
      </c>
      <c r="C455" s="132" t="s">
        <v>127</v>
      </c>
      <c r="D455" s="132" t="s">
        <v>128</v>
      </c>
      <c r="E455" s="132" t="s">
        <v>138</v>
      </c>
      <c r="F455" s="132" t="s">
        <v>139</v>
      </c>
      <c r="G455" s="132" t="s">
        <v>76</v>
      </c>
      <c r="H455" s="132" t="s">
        <v>298</v>
      </c>
      <c r="I455" s="79" t="s">
        <v>78</v>
      </c>
      <c r="J455" s="79" t="s">
        <v>78</v>
      </c>
      <c r="K455" s="79" t="s">
        <v>3</v>
      </c>
      <c r="L455" s="132" t="s">
        <v>125</v>
      </c>
      <c r="M455" s="132"/>
      <c r="N455" s="132" t="s">
        <v>126</v>
      </c>
      <c r="O455" s="132" t="s">
        <v>94</v>
      </c>
      <c r="P455" s="140">
        <v>0.04</v>
      </c>
      <c r="Q455" s="134"/>
      <c r="R455" s="132"/>
      <c r="S455" s="141">
        <v>227.30774647876399</v>
      </c>
      <c r="T455" s="141"/>
      <c r="U455" s="141">
        <v>0</v>
      </c>
      <c r="V455" s="136">
        <f t="shared" si="97"/>
        <v>227.30774647876399</v>
      </c>
      <c r="W455" s="141">
        <f t="shared" si="103"/>
        <v>0</v>
      </c>
      <c r="X455" s="132"/>
      <c r="Y455" s="50">
        <f t="shared" si="106"/>
        <v>0</v>
      </c>
      <c r="Z455" s="50">
        <f t="shared" si="107"/>
        <v>0</v>
      </c>
      <c r="AA455" s="137">
        <f t="shared" si="98"/>
        <v>0</v>
      </c>
      <c r="AB455" s="136">
        <f t="shared" si="104"/>
        <v>0</v>
      </c>
      <c r="AC455" s="138">
        <v>0.05</v>
      </c>
      <c r="AD455" s="136">
        <f t="shared" si="99"/>
        <v>0</v>
      </c>
      <c r="AE455" s="132"/>
      <c r="AF455" s="132"/>
      <c r="AG455" s="140">
        <v>0.42</v>
      </c>
      <c r="AH455" s="136">
        <f t="shared" si="100"/>
        <v>0</v>
      </c>
      <c r="AI455" s="141">
        <v>0</v>
      </c>
      <c r="AJ455" s="136">
        <f t="shared" si="101"/>
        <v>0</v>
      </c>
      <c r="AK455" s="141">
        <v>0</v>
      </c>
      <c r="AL455" s="136">
        <f t="shared" si="102"/>
        <v>0</v>
      </c>
      <c r="AM455" s="141">
        <f t="shared" si="105"/>
        <v>0</v>
      </c>
    </row>
    <row r="456" spans="1:39" hidden="1" x14ac:dyDescent="0.25">
      <c r="A456" s="123" t="s">
        <v>297</v>
      </c>
      <c r="B456" s="132" t="s">
        <v>71</v>
      </c>
      <c r="C456" s="132" t="s">
        <v>127</v>
      </c>
      <c r="D456" s="132" t="s">
        <v>128</v>
      </c>
      <c r="E456" s="132" t="s">
        <v>123</v>
      </c>
      <c r="F456" s="132" t="s">
        <v>140</v>
      </c>
      <c r="G456" s="132" t="s">
        <v>76</v>
      </c>
      <c r="H456" s="132" t="s">
        <v>298</v>
      </c>
      <c r="I456" s="79" t="s">
        <v>78</v>
      </c>
      <c r="J456" s="79" t="s">
        <v>78</v>
      </c>
      <c r="K456" s="79" t="s">
        <v>3</v>
      </c>
      <c r="L456" s="132" t="s">
        <v>125</v>
      </c>
      <c r="M456" s="132"/>
      <c r="N456" s="132" t="s">
        <v>126</v>
      </c>
      <c r="O456" s="132" t="s">
        <v>94</v>
      </c>
      <c r="P456" s="140">
        <v>0.23</v>
      </c>
      <c r="Q456" s="134"/>
      <c r="R456" s="132"/>
      <c r="S456" s="141">
        <v>152.264929577999</v>
      </c>
      <c r="T456" s="141"/>
      <c r="U456" s="141">
        <v>0</v>
      </c>
      <c r="V456" s="136">
        <f t="shared" si="97"/>
        <v>152.264929577999</v>
      </c>
      <c r="W456" s="141">
        <f t="shared" si="103"/>
        <v>0</v>
      </c>
      <c r="X456" s="132"/>
      <c r="Y456" s="50">
        <f t="shared" si="106"/>
        <v>0</v>
      </c>
      <c r="Z456" s="50">
        <f t="shared" si="107"/>
        <v>0</v>
      </c>
      <c r="AA456" s="137">
        <f t="shared" si="98"/>
        <v>0</v>
      </c>
      <c r="AB456" s="136">
        <f t="shared" si="104"/>
        <v>0</v>
      </c>
      <c r="AC456" s="138">
        <v>0.05</v>
      </c>
      <c r="AD456" s="136">
        <f t="shared" si="99"/>
        <v>0</v>
      </c>
      <c r="AE456" s="132"/>
      <c r="AF456" s="132"/>
      <c r="AG456" s="140">
        <v>0.42</v>
      </c>
      <c r="AH456" s="136">
        <f t="shared" si="100"/>
        <v>0</v>
      </c>
      <c r="AI456" s="141">
        <v>0</v>
      </c>
      <c r="AJ456" s="136">
        <f t="shared" si="101"/>
        <v>0</v>
      </c>
      <c r="AK456" s="141">
        <v>0</v>
      </c>
      <c r="AL456" s="136">
        <f t="shared" si="102"/>
        <v>0</v>
      </c>
      <c r="AM456" s="141">
        <f t="shared" si="105"/>
        <v>0</v>
      </c>
    </row>
    <row r="457" spans="1:39" hidden="1" x14ac:dyDescent="0.25">
      <c r="A457" s="123" t="s">
        <v>297</v>
      </c>
      <c r="B457" s="132" t="s">
        <v>71</v>
      </c>
      <c r="C457" s="132" t="s">
        <v>127</v>
      </c>
      <c r="D457" s="132" t="s">
        <v>128</v>
      </c>
      <c r="E457" s="132" t="s">
        <v>141</v>
      </c>
      <c r="F457" s="132" t="s">
        <v>142</v>
      </c>
      <c r="G457" s="132" t="s">
        <v>76</v>
      </c>
      <c r="H457" s="132" t="s">
        <v>298</v>
      </c>
      <c r="I457" s="79" t="s">
        <v>78</v>
      </c>
      <c r="J457" s="79" t="s">
        <v>78</v>
      </c>
      <c r="K457" s="79" t="s">
        <v>3</v>
      </c>
      <c r="L457" s="132" t="s">
        <v>125</v>
      </c>
      <c r="M457" s="132"/>
      <c r="N457" s="132" t="s">
        <v>126</v>
      </c>
      <c r="O457" s="132" t="s">
        <v>94</v>
      </c>
      <c r="P457" s="140">
        <v>0.13</v>
      </c>
      <c r="Q457" s="134"/>
      <c r="R457" s="132"/>
      <c r="S457" s="141">
        <v>-30329.470000000099</v>
      </c>
      <c r="T457" s="141"/>
      <c r="U457" s="141">
        <v>0</v>
      </c>
      <c r="V457" s="136">
        <f t="shared" si="97"/>
        <v>-30329.470000000099</v>
      </c>
      <c r="W457" s="141">
        <f t="shared" si="103"/>
        <v>0</v>
      </c>
      <c r="X457" s="132"/>
      <c r="Y457" s="50">
        <f t="shared" si="106"/>
        <v>0</v>
      </c>
      <c r="Z457" s="50">
        <f t="shared" si="107"/>
        <v>0</v>
      </c>
      <c r="AA457" s="137">
        <f t="shared" si="98"/>
        <v>0</v>
      </c>
      <c r="AB457" s="136">
        <f t="shared" si="104"/>
        <v>0</v>
      </c>
      <c r="AC457" s="138">
        <v>0.05</v>
      </c>
      <c r="AD457" s="136">
        <f t="shared" si="99"/>
        <v>0</v>
      </c>
      <c r="AE457" s="132"/>
      <c r="AF457" s="132"/>
      <c r="AG457" s="140">
        <v>0.42</v>
      </c>
      <c r="AH457" s="136">
        <f t="shared" si="100"/>
        <v>0</v>
      </c>
      <c r="AI457" s="141">
        <v>0</v>
      </c>
      <c r="AJ457" s="136">
        <f t="shared" si="101"/>
        <v>0</v>
      </c>
      <c r="AK457" s="141">
        <v>0</v>
      </c>
      <c r="AL457" s="136">
        <f t="shared" si="102"/>
        <v>0</v>
      </c>
      <c r="AM457" s="141">
        <f t="shared" si="105"/>
        <v>0</v>
      </c>
    </row>
    <row r="458" spans="1:39" hidden="1" x14ac:dyDescent="0.25">
      <c r="A458" s="123" t="s">
        <v>297</v>
      </c>
      <c r="B458" s="132" t="s">
        <v>71</v>
      </c>
      <c r="C458" s="132" t="s">
        <v>127</v>
      </c>
      <c r="D458" s="132" t="s">
        <v>128</v>
      </c>
      <c r="E458" s="132" t="s">
        <v>143</v>
      </c>
      <c r="F458" s="132" t="s">
        <v>144</v>
      </c>
      <c r="G458" s="132" t="s">
        <v>76</v>
      </c>
      <c r="H458" s="132" t="s">
        <v>298</v>
      </c>
      <c r="I458" s="79" t="s">
        <v>78</v>
      </c>
      <c r="J458" s="79" t="s">
        <v>78</v>
      </c>
      <c r="K458" s="79" t="s">
        <v>3</v>
      </c>
      <c r="L458" s="132" t="s">
        <v>125</v>
      </c>
      <c r="M458" s="132"/>
      <c r="N458" s="132" t="s">
        <v>126</v>
      </c>
      <c r="O458" s="132" t="s">
        <v>94</v>
      </c>
      <c r="P458" s="140">
        <v>0.03</v>
      </c>
      <c r="Q458" s="134"/>
      <c r="R458" s="132"/>
      <c r="S458" s="141">
        <v>425.555211267598</v>
      </c>
      <c r="T458" s="141"/>
      <c r="U458" s="141">
        <v>0</v>
      </c>
      <c r="V458" s="136">
        <f t="shared" si="97"/>
        <v>425.555211267598</v>
      </c>
      <c r="W458" s="141">
        <f t="shared" si="103"/>
        <v>0</v>
      </c>
      <c r="X458" s="132"/>
      <c r="Y458" s="50">
        <f t="shared" si="106"/>
        <v>0</v>
      </c>
      <c r="Z458" s="50">
        <f t="shared" si="107"/>
        <v>0</v>
      </c>
      <c r="AA458" s="137">
        <f t="shared" si="98"/>
        <v>0</v>
      </c>
      <c r="AB458" s="136">
        <f t="shared" si="104"/>
        <v>0</v>
      </c>
      <c r="AC458" s="138">
        <v>0.05</v>
      </c>
      <c r="AD458" s="136">
        <f t="shared" si="99"/>
        <v>0</v>
      </c>
      <c r="AE458" s="132"/>
      <c r="AF458" s="132"/>
      <c r="AG458" s="140">
        <v>0.42</v>
      </c>
      <c r="AH458" s="136">
        <f t="shared" si="100"/>
        <v>0</v>
      </c>
      <c r="AI458" s="141">
        <v>0</v>
      </c>
      <c r="AJ458" s="136">
        <f t="shared" si="101"/>
        <v>0</v>
      </c>
      <c r="AK458" s="141">
        <v>0</v>
      </c>
      <c r="AL458" s="136">
        <f t="shared" si="102"/>
        <v>0</v>
      </c>
      <c r="AM458" s="141">
        <f t="shared" si="105"/>
        <v>0</v>
      </c>
    </row>
    <row r="459" spans="1:39" hidden="1" x14ac:dyDescent="0.25">
      <c r="A459" s="123" t="s">
        <v>297</v>
      </c>
      <c r="B459" s="132" t="s">
        <v>71</v>
      </c>
      <c r="C459" s="132" t="s">
        <v>127</v>
      </c>
      <c r="D459" s="132" t="s">
        <v>128</v>
      </c>
      <c r="E459" s="132" t="s">
        <v>145</v>
      </c>
      <c r="F459" s="132" t="s">
        <v>146</v>
      </c>
      <c r="G459" s="132" t="s">
        <v>76</v>
      </c>
      <c r="H459" s="132" t="s">
        <v>298</v>
      </c>
      <c r="I459" s="79" t="s">
        <v>78</v>
      </c>
      <c r="J459" s="79" t="s">
        <v>78</v>
      </c>
      <c r="K459" s="79" t="s">
        <v>3</v>
      </c>
      <c r="L459" s="132" t="s">
        <v>125</v>
      </c>
      <c r="M459" s="132"/>
      <c r="N459" s="132" t="s">
        <v>126</v>
      </c>
      <c r="O459" s="132" t="s">
        <v>94</v>
      </c>
      <c r="P459" s="140">
        <v>0.22</v>
      </c>
      <c r="Q459" s="134"/>
      <c r="R459" s="132"/>
      <c r="S459" s="141">
        <v>1402.38690140774</v>
      </c>
      <c r="T459" s="141"/>
      <c r="U459" s="141">
        <v>0</v>
      </c>
      <c r="V459" s="136">
        <f t="shared" si="97"/>
        <v>1402.38690140774</v>
      </c>
      <c r="W459" s="141">
        <f t="shared" si="103"/>
        <v>0</v>
      </c>
      <c r="X459" s="132"/>
      <c r="Y459" s="50">
        <f t="shared" si="106"/>
        <v>0</v>
      </c>
      <c r="Z459" s="50">
        <f t="shared" si="107"/>
        <v>0</v>
      </c>
      <c r="AA459" s="137">
        <f t="shared" si="98"/>
        <v>0</v>
      </c>
      <c r="AB459" s="136">
        <f t="shared" si="104"/>
        <v>0</v>
      </c>
      <c r="AC459" s="138">
        <v>0.05</v>
      </c>
      <c r="AD459" s="136">
        <f t="shared" si="99"/>
        <v>0</v>
      </c>
      <c r="AE459" s="132"/>
      <c r="AF459" s="132"/>
      <c r="AG459" s="140">
        <v>0.42</v>
      </c>
      <c r="AH459" s="136">
        <f t="shared" si="100"/>
        <v>0</v>
      </c>
      <c r="AI459" s="141">
        <v>0</v>
      </c>
      <c r="AJ459" s="136">
        <f t="shared" si="101"/>
        <v>0</v>
      </c>
      <c r="AK459" s="141">
        <v>0</v>
      </c>
      <c r="AL459" s="136">
        <f t="shared" si="102"/>
        <v>0</v>
      </c>
      <c r="AM459" s="141">
        <f t="shared" si="105"/>
        <v>0</v>
      </c>
    </row>
    <row r="460" spans="1:39" hidden="1" x14ac:dyDescent="0.25">
      <c r="A460" s="123" t="s">
        <v>297</v>
      </c>
      <c r="B460" s="132" t="s">
        <v>71</v>
      </c>
      <c r="C460" s="132" t="s">
        <v>127</v>
      </c>
      <c r="D460" s="132" t="s">
        <v>128</v>
      </c>
      <c r="E460" s="132" t="s">
        <v>147</v>
      </c>
      <c r="F460" s="132" t="s">
        <v>148</v>
      </c>
      <c r="G460" s="132" t="s">
        <v>76</v>
      </c>
      <c r="H460" s="132" t="s">
        <v>298</v>
      </c>
      <c r="I460" s="79" t="s">
        <v>78</v>
      </c>
      <c r="J460" s="79" t="s">
        <v>78</v>
      </c>
      <c r="K460" s="79" t="s">
        <v>3</v>
      </c>
      <c r="L460" s="132" t="s">
        <v>125</v>
      </c>
      <c r="M460" s="132"/>
      <c r="N460" s="132" t="s">
        <v>126</v>
      </c>
      <c r="O460" s="132" t="s">
        <v>94</v>
      </c>
      <c r="P460" s="140">
        <v>0.23</v>
      </c>
      <c r="Q460" s="134"/>
      <c r="R460" s="132"/>
      <c r="S460" s="141">
        <v>12961.68</v>
      </c>
      <c r="T460" s="141"/>
      <c r="U460" s="141">
        <v>0</v>
      </c>
      <c r="V460" s="136">
        <f t="shared" si="97"/>
        <v>12961.68</v>
      </c>
      <c r="W460" s="141">
        <f t="shared" si="103"/>
        <v>0</v>
      </c>
      <c r="X460" s="132"/>
      <c r="Y460" s="50">
        <f t="shared" si="106"/>
        <v>0</v>
      </c>
      <c r="Z460" s="50">
        <f t="shared" si="107"/>
        <v>0</v>
      </c>
      <c r="AA460" s="137">
        <f t="shared" si="98"/>
        <v>0</v>
      </c>
      <c r="AB460" s="136">
        <f t="shared" si="104"/>
        <v>0</v>
      </c>
      <c r="AC460" s="138">
        <v>0.05</v>
      </c>
      <c r="AD460" s="136">
        <f t="shared" si="99"/>
        <v>0</v>
      </c>
      <c r="AE460" s="132"/>
      <c r="AF460" s="132"/>
      <c r="AG460" s="140">
        <v>0.42</v>
      </c>
      <c r="AH460" s="136">
        <f t="shared" si="100"/>
        <v>0</v>
      </c>
      <c r="AI460" s="141">
        <v>0</v>
      </c>
      <c r="AJ460" s="136">
        <f t="shared" si="101"/>
        <v>0</v>
      </c>
      <c r="AK460" s="141">
        <v>0</v>
      </c>
      <c r="AL460" s="136">
        <f t="shared" si="102"/>
        <v>0</v>
      </c>
      <c r="AM460" s="141">
        <f t="shared" si="105"/>
        <v>0</v>
      </c>
    </row>
    <row r="461" spans="1:39" hidden="1" x14ac:dyDescent="0.25">
      <c r="A461" s="123" t="s">
        <v>297</v>
      </c>
      <c r="B461" s="132" t="s">
        <v>71</v>
      </c>
      <c r="C461" s="132" t="s">
        <v>127</v>
      </c>
      <c r="D461" s="132" t="s">
        <v>128</v>
      </c>
      <c r="E461" s="132" t="s">
        <v>149</v>
      </c>
      <c r="F461" s="132" t="s">
        <v>150</v>
      </c>
      <c r="G461" s="132" t="s">
        <v>76</v>
      </c>
      <c r="H461" s="132" t="s">
        <v>298</v>
      </c>
      <c r="I461" s="79" t="s">
        <v>78</v>
      </c>
      <c r="J461" s="79" t="s">
        <v>78</v>
      </c>
      <c r="K461" s="79" t="s">
        <v>3</v>
      </c>
      <c r="L461" s="132" t="s">
        <v>125</v>
      </c>
      <c r="M461" s="132"/>
      <c r="N461" s="132" t="s">
        <v>126</v>
      </c>
      <c r="O461" s="132" t="s">
        <v>94</v>
      </c>
      <c r="P461" s="140">
        <v>0.13</v>
      </c>
      <c r="Q461" s="134"/>
      <c r="R461" s="132"/>
      <c r="S461" s="141">
        <v>143.460985915328</v>
      </c>
      <c r="T461" s="141"/>
      <c r="U461" s="141">
        <v>0</v>
      </c>
      <c r="V461" s="136">
        <f t="shared" si="97"/>
        <v>143.460985915328</v>
      </c>
      <c r="W461" s="141">
        <f t="shared" si="103"/>
        <v>0</v>
      </c>
      <c r="X461" s="132"/>
      <c r="Y461" s="50">
        <f t="shared" si="106"/>
        <v>0</v>
      </c>
      <c r="Z461" s="50">
        <f t="shared" si="107"/>
        <v>0</v>
      </c>
      <c r="AA461" s="137">
        <f t="shared" si="98"/>
        <v>0</v>
      </c>
      <c r="AB461" s="136">
        <f t="shared" si="104"/>
        <v>0</v>
      </c>
      <c r="AC461" s="138">
        <v>0.05</v>
      </c>
      <c r="AD461" s="136">
        <f t="shared" si="99"/>
        <v>0</v>
      </c>
      <c r="AE461" s="132"/>
      <c r="AF461" s="132"/>
      <c r="AG461" s="140">
        <v>0.42</v>
      </c>
      <c r="AH461" s="136">
        <f t="shared" si="100"/>
        <v>0</v>
      </c>
      <c r="AI461" s="141">
        <v>0</v>
      </c>
      <c r="AJ461" s="136">
        <f t="shared" si="101"/>
        <v>0</v>
      </c>
      <c r="AK461" s="141">
        <v>0</v>
      </c>
      <c r="AL461" s="136">
        <f t="shared" si="102"/>
        <v>0</v>
      </c>
      <c r="AM461" s="141">
        <f t="shared" si="105"/>
        <v>0</v>
      </c>
    </row>
    <row r="462" spans="1:39" hidden="1" x14ac:dyDescent="0.25">
      <c r="A462" s="123" t="s">
        <v>297</v>
      </c>
      <c r="B462" s="132" t="s">
        <v>71</v>
      </c>
      <c r="C462" s="132" t="s">
        <v>127</v>
      </c>
      <c r="D462" s="132" t="s">
        <v>153</v>
      </c>
      <c r="E462" s="132" t="s">
        <v>154</v>
      </c>
      <c r="F462" s="132" t="s">
        <v>155</v>
      </c>
      <c r="G462" s="132" t="s">
        <v>76</v>
      </c>
      <c r="H462" s="132" t="s">
        <v>298</v>
      </c>
      <c r="I462" s="79" t="s">
        <v>78</v>
      </c>
      <c r="J462" s="79" t="s">
        <v>78</v>
      </c>
      <c r="K462" s="79" t="s">
        <v>3</v>
      </c>
      <c r="L462" s="132" t="s">
        <v>125</v>
      </c>
      <c r="M462" s="132"/>
      <c r="N462" s="132" t="s">
        <v>126</v>
      </c>
      <c r="O462" s="132" t="s">
        <v>94</v>
      </c>
      <c r="P462" s="140">
        <v>0.18</v>
      </c>
      <c r="Q462" s="134"/>
      <c r="R462" s="132"/>
      <c r="S462" s="141">
        <v>42851.614929577998</v>
      </c>
      <c r="T462" s="141"/>
      <c r="U462" s="141">
        <v>0</v>
      </c>
      <c r="V462" s="136">
        <f t="shared" si="97"/>
        <v>42851.614929577998</v>
      </c>
      <c r="W462" s="141">
        <f t="shared" si="103"/>
        <v>0</v>
      </c>
      <c r="X462" s="132"/>
      <c r="Y462" s="50">
        <f t="shared" si="106"/>
        <v>0</v>
      </c>
      <c r="Z462" s="50">
        <f t="shared" si="107"/>
        <v>0</v>
      </c>
      <c r="AA462" s="137">
        <f t="shared" si="98"/>
        <v>0</v>
      </c>
      <c r="AB462" s="136">
        <f t="shared" si="104"/>
        <v>0</v>
      </c>
      <c r="AC462" s="138">
        <v>0.05</v>
      </c>
      <c r="AD462" s="136">
        <f t="shared" si="99"/>
        <v>0</v>
      </c>
      <c r="AE462" s="132"/>
      <c r="AF462" s="132"/>
      <c r="AG462" s="140">
        <v>0.42</v>
      </c>
      <c r="AH462" s="136">
        <f t="shared" si="100"/>
        <v>0</v>
      </c>
      <c r="AI462" s="141">
        <v>29942.36</v>
      </c>
      <c r="AJ462" s="136">
        <f t="shared" si="101"/>
        <v>0</v>
      </c>
      <c r="AK462" s="141">
        <v>0</v>
      </c>
      <c r="AL462" s="136">
        <f t="shared" si="102"/>
        <v>29942.36</v>
      </c>
      <c r="AM462" s="141">
        <f t="shared" si="105"/>
        <v>0</v>
      </c>
    </row>
    <row r="463" spans="1:39" hidden="1" x14ac:dyDescent="0.25">
      <c r="A463" s="123" t="s">
        <v>297</v>
      </c>
      <c r="B463" s="132" t="s">
        <v>71</v>
      </c>
      <c r="C463" s="132" t="s">
        <v>127</v>
      </c>
      <c r="D463" s="132" t="s">
        <v>153</v>
      </c>
      <c r="E463" s="132" t="s">
        <v>125</v>
      </c>
      <c r="F463" s="132" t="s">
        <v>156</v>
      </c>
      <c r="G463" s="132" t="s">
        <v>76</v>
      </c>
      <c r="H463" s="132" t="s">
        <v>298</v>
      </c>
      <c r="I463" s="79" t="s">
        <v>78</v>
      </c>
      <c r="J463" s="79" t="s">
        <v>78</v>
      </c>
      <c r="K463" s="79" t="s">
        <v>3</v>
      </c>
      <c r="L463" s="132" t="s">
        <v>125</v>
      </c>
      <c r="M463" s="132"/>
      <c r="N463" s="132" t="s">
        <v>126</v>
      </c>
      <c r="O463" s="132" t="s">
        <v>94</v>
      </c>
      <c r="P463" s="140">
        <v>0.08</v>
      </c>
      <c r="Q463" s="134"/>
      <c r="R463" s="132"/>
      <c r="S463" s="141">
        <v>29897.39</v>
      </c>
      <c r="T463" s="141"/>
      <c r="U463" s="141">
        <v>0</v>
      </c>
      <c r="V463" s="136">
        <f t="shared" si="97"/>
        <v>29897.39</v>
      </c>
      <c r="W463" s="141">
        <f t="shared" si="103"/>
        <v>0</v>
      </c>
      <c r="X463" s="132"/>
      <c r="Y463" s="50">
        <f t="shared" si="106"/>
        <v>0</v>
      </c>
      <c r="Z463" s="50">
        <f t="shared" si="107"/>
        <v>0</v>
      </c>
      <c r="AA463" s="137">
        <f t="shared" si="98"/>
        <v>0</v>
      </c>
      <c r="AB463" s="136">
        <f t="shared" si="104"/>
        <v>0</v>
      </c>
      <c r="AC463" s="138">
        <v>0.05</v>
      </c>
      <c r="AD463" s="136">
        <f t="shared" si="99"/>
        <v>0</v>
      </c>
      <c r="AE463" s="132"/>
      <c r="AF463" s="132"/>
      <c r="AG463" s="140">
        <v>0.42</v>
      </c>
      <c r="AH463" s="136">
        <f t="shared" si="100"/>
        <v>0</v>
      </c>
      <c r="AI463" s="141">
        <v>0</v>
      </c>
      <c r="AJ463" s="136">
        <f t="shared" si="101"/>
        <v>0</v>
      </c>
      <c r="AK463" s="141">
        <v>0</v>
      </c>
      <c r="AL463" s="136">
        <f t="shared" si="102"/>
        <v>0</v>
      </c>
      <c r="AM463" s="141">
        <f t="shared" si="105"/>
        <v>0</v>
      </c>
    </row>
    <row r="464" spans="1:39" hidden="1" x14ac:dyDescent="0.25">
      <c r="A464" s="123" t="s">
        <v>297</v>
      </c>
      <c r="B464" s="132" t="s">
        <v>71</v>
      </c>
      <c r="C464" s="132" t="s">
        <v>127</v>
      </c>
      <c r="D464" s="132" t="s">
        <v>153</v>
      </c>
      <c r="E464" s="132" t="s">
        <v>157</v>
      </c>
      <c r="F464" s="132" t="s">
        <v>158</v>
      </c>
      <c r="G464" s="132" t="s">
        <v>76</v>
      </c>
      <c r="H464" s="132" t="s">
        <v>298</v>
      </c>
      <c r="I464" s="79" t="s">
        <v>78</v>
      </c>
      <c r="J464" s="79" t="s">
        <v>78</v>
      </c>
      <c r="K464" s="79" t="s">
        <v>3</v>
      </c>
      <c r="L464" s="132" t="s">
        <v>125</v>
      </c>
      <c r="M464" s="132"/>
      <c r="N464" s="132" t="s">
        <v>126</v>
      </c>
      <c r="O464" s="132" t="s">
        <v>94</v>
      </c>
      <c r="P464" s="140">
        <v>0.08</v>
      </c>
      <c r="Q464" s="134"/>
      <c r="R464" s="132"/>
      <c r="S464" s="141">
        <v>20014.111126760599</v>
      </c>
      <c r="T464" s="141"/>
      <c r="U464" s="141">
        <v>0</v>
      </c>
      <c r="V464" s="136">
        <f t="shared" si="97"/>
        <v>20014.111126760599</v>
      </c>
      <c r="W464" s="141">
        <f t="shared" si="103"/>
        <v>0</v>
      </c>
      <c r="X464" s="132"/>
      <c r="Y464" s="50">
        <f t="shared" si="106"/>
        <v>0</v>
      </c>
      <c r="Z464" s="50">
        <f t="shared" si="107"/>
        <v>0</v>
      </c>
      <c r="AA464" s="137">
        <f t="shared" si="98"/>
        <v>0</v>
      </c>
      <c r="AB464" s="136">
        <f t="shared" si="104"/>
        <v>0</v>
      </c>
      <c r="AC464" s="138">
        <v>0.05</v>
      </c>
      <c r="AD464" s="136">
        <f t="shared" si="99"/>
        <v>0</v>
      </c>
      <c r="AE464" s="132"/>
      <c r="AF464" s="132"/>
      <c r="AG464" s="140">
        <v>0.42</v>
      </c>
      <c r="AH464" s="136">
        <f t="shared" si="100"/>
        <v>0</v>
      </c>
      <c r="AI464" s="141">
        <v>0</v>
      </c>
      <c r="AJ464" s="136">
        <f t="shared" si="101"/>
        <v>0</v>
      </c>
      <c r="AK464" s="141">
        <v>0</v>
      </c>
      <c r="AL464" s="136">
        <f t="shared" si="102"/>
        <v>0</v>
      </c>
      <c r="AM464" s="141">
        <f t="shared" si="105"/>
        <v>0</v>
      </c>
    </row>
    <row r="465" spans="1:40" hidden="1" x14ac:dyDescent="0.25">
      <c r="A465" s="123" t="s">
        <v>297</v>
      </c>
      <c r="B465" s="132" t="s">
        <v>71</v>
      </c>
      <c r="C465" s="132" t="s">
        <v>127</v>
      </c>
      <c r="D465" s="132" t="s">
        <v>153</v>
      </c>
      <c r="E465" s="132" t="s">
        <v>159</v>
      </c>
      <c r="F465" s="132" t="s">
        <v>160</v>
      </c>
      <c r="G465" s="132" t="s">
        <v>76</v>
      </c>
      <c r="H465" s="132" t="s">
        <v>298</v>
      </c>
      <c r="I465" s="79" t="s">
        <v>78</v>
      </c>
      <c r="J465" s="79" t="s">
        <v>78</v>
      </c>
      <c r="K465" s="79" t="s">
        <v>3</v>
      </c>
      <c r="L465" s="132" t="s">
        <v>125</v>
      </c>
      <c r="M465" s="132"/>
      <c r="N465" s="132" t="s">
        <v>126</v>
      </c>
      <c r="O465" s="132" t="s">
        <v>94</v>
      </c>
      <c r="P465" s="140">
        <v>0.04</v>
      </c>
      <c r="Q465" s="134"/>
      <c r="R465" s="132"/>
      <c r="S465" s="141">
        <v>322.47394365991897</v>
      </c>
      <c r="T465" s="141"/>
      <c r="U465" s="141">
        <v>0</v>
      </c>
      <c r="V465" s="136">
        <f t="shared" si="97"/>
        <v>322.47394365991897</v>
      </c>
      <c r="W465" s="141">
        <f t="shared" si="103"/>
        <v>0</v>
      </c>
      <c r="X465" s="132"/>
      <c r="Y465" s="50">
        <f t="shared" si="106"/>
        <v>0</v>
      </c>
      <c r="Z465" s="50">
        <f t="shared" si="107"/>
        <v>0</v>
      </c>
      <c r="AA465" s="137">
        <f t="shared" si="98"/>
        <v>0</v>
      </c>
      <c r="AB465" s="136">
        <f t="shared" si="104"/>
        <v>0</v>
      </c>
      <c r="AC465" s="138">
        <v>0.05</v>
      </c>
      <c r="AD465" s="136">
        <f t="shared" si="99"/>
        <v>0</v>
      </c>
      <c r="AE465" s="132"/>
      <c r="AF465" s="132"/>
      <c r="AG465" s="140">
        <v>0.42</v>
      </c>
      <c r="AH465" s="136">
        <f t="shared" si="100"/>
        <v>0</v>
      </c>
      <c r="AI465" s="141">
        <v>0</v>
      </c>
      <c r="AJ465" s="136">
        <f t="shared" si="101"/>
        <v>0</v>
      </c>
      <c r="AK465" s="141">
        <v>0</v>
      </c>
      <c r="AL465" s="136">
        <f t="shared" si="102"/>
        <v>0</v>
      </c>
      <c r="AM465" s="141">
        <f t="shared" si="105"/>
        <v>0</v>
      </c>
    </row>
    <row r="466" spans="1:40" hidden="1" x14ac:dyDescent="0.25">
      <c r="A466" s="123" t="s">
        <v>297</v>
      </c>
      <c r="B466" s="132" t="s">
        <v>71</v>
      </c>
      <c r="C466" s="132" t="s">
        <v>127</v>
      </c>
      <c r="D466" s="132" t="s">
        <v>153</v>
      </c>
      <c r="E466" s="132" t="s">
        <v>161</v>
      </c>
      <c r="F466" s="132" t="s">
        <v>162</v>
      </c>
      <c r="G466" s="132" t="s">
        <v>76</v>
      </c>
      <c r="H466" s="132" t="s">
        <v>298</v>
      </c>
      <c r="I466" s="79" t="s">
        <v>78</v>
      </c>
      <c r="J466" s="79" t="s">
        <v>78</v>
      </c>
      <c r="K466" s="79" t="s">
        <v>3</v>
      </c>
      <c r="L466" s="132" t="s">
        <v>125</v>
      </c>
      <c r="M466" s="132"/>
      <c r="N466" s="132" t="s">
        <v>126</v>
      </c>
      <c r="O466" s="132" t="s">
        <v>94</v>
      </c>
      <c r="P466" s="140">
        <v>0.23</v>
      </c>
      <c r="Q466" s="134"/>
      <c r="R466" s="132"/>
      <c r="S466" s="141">
        <v>196.54507042269699</v>
      </c>
      <c r="T466" s="141"/>
      <c r="U466" s="141">
        <v>0</v>
      </c>
      <c r="V466" s="136">
        <f t="shared" si="97"/>
        <v>196.54507042269699</v>
      </c>
      <c r="W466" s="141">
        <f t="shared" si="103"/>
        <v>0</v>
      </c>
      <c r="X466" s="132"/>
      <c r="Y466" s="50">
        <f t="shared" si="106"/>
        <v>0</v>
      </c>
      <c r="Z466" s="50">
        <f t="shared" si="107"/>
        <v>0</v>
      </c>
      <c r="AA466" s="137">
        <f t="shared" si="98"/>
        <v>0</v>
      </c>
      <c r="AB466" s="136">
        <f t="shared" si="104"/>
        <v>0</v>
      </c>
      <c r="AC466" s="138">
        <v>0.05</v>
      </c>
      <c r="AD466" s="136">
        <f t="shared" si="99"/>
        <v>0</v>
      </c>
      <c r="AE466" s="132"/>
      <c r="AF466" s="132"/>
      <c r="AG466" s="140">
        <v>0.42</v>
      </c>
      <c r="AH466" s="136">
        <f t="shared" si="100"/>
        <v>0</v>
      </c>
      <c r="AI466" s="141">
        <v>0</v>
      </c>
      <c r="AJ466" s="136">
        <f t="shared" si="101"/>
        <v>0</v>
      </c>
      <c r="AK466" s="141">
        <v>0</v>
      </c>
      <c r="AL466" s="136">
        <f t="shared" si="102"/>
        <v>0</v>
      </c>
      <c r="AM466" s="141">
        <f t="shared" si="105"/>
        <v>0</v>
      </c>
    </row>
    <row r="467" spans="1:40" hidden="1" x14ac:dyDescent="0.25">
      <c r="A467" s="123" t="s">
        <v>297</v>
      </c>
      <c r="B467" s="132" t="s">
        <v>71</v>
      </c>
      <c r="C467" s="132" t="s">
        <v>127</v>
      </c>
      <c r="D467" s="132" t="s">
        <v>153</v>
      </c>
      <c r="E467" s="132" t="s">
        <v>163</v>
      </c>
      <c r="F467" s="132" t="s">
        <v>164</v>
      </c>
      <c r="G467" s="132" t="s">
        <v>76</v>
      </c>
      <c r="H467" s="132" t="s">
        <v>298</v>
      </c>
      <c r="I467" s="79" t="s">
        <v>78</v>
      </c>
      <c r="J467" s="79" t="s">
        <v>78</v>
      </c>
      <c r="K467" s="79" t="s">
        <v>3</v>
      </c>
      <c r="L467" s="132" t="s">
        <v>125</v>
      </c>
      <c r="M467" s="132"/>
      <c r="N467" s="132" t="s">
        <v>126</v>
      </c>
      <c r="O467" s="132" t="s">
        <v>94</v>
      </c>
      <c r="P467" s="140">
        <v>0.03</v>
      </c>
      <c r="Q467" s="134"/>
      <c r="R467" s="132"/>
      <c r="S467" s="141">
        <v>1513.0032394366101</v>
      </c>
      <c r="T467" s="141"/>
      <c r="U467" s="141">
        <v>0</v>
      </c>
      <c r="V467" s="136">
        <f t="shared" si="97"/>
        <v>1513.0032394366101</v>
      </c>
      <c r="W467" s="141">
        <f t="shared" si="103"/>
        <v>0</v>
      </c>
      <c r="X467" s="132"/>
      <c r="Y467" s="50">
        <f t="shared" si="106"/>
        <v>0</v>
      </c>
      <c r="Z467" s="50">
        <f t="shared" si="107"/>
        <v>0</v>
      </c>
      <c r="AA467" s="137">
        <f t="shared" si="98"/>
        <v>0</v>
      </c>
      <c r="AB467" s="136">
        <f t="shared" si="104"/>
        <v>0</v>
      </c>
      <c r="AC467" s="138">
        <v>0.05</v>
      </c>
      <c r="AD467" s="136">
        <f t="shared" si="99"/>
        <v>0</v>
      </c>
      <c r="AE467" s="132"/>
      <c r="AF467" s="132"/>
      <c r="AG467" s="140">
        <v>0.42</v>
      </c>
      <c r="AH467" s="136">
        <f t="shared" si="100"/>
        <v>0</v>
      </c>
      <c r="AI467" s="141">
        <v>0</v>
      </c>
      <c r="AJ467" s="136">
        <f t="shared" si="101"/>
        <v>0</v>
      </c>
      <c r="AK467" s="141">
        <v>0</v>
      </c>
      <c r="AL467" s="136">
        <f t="shared" si="102"/>
        <v>0</v>
      </c>
      <c r="AM467" s="141">
        <f t="shared" si="105"/>
        <v>0</v>
      </c>
    </row>
    <row r="468" spans="1:40" hidden="1" x14ac:dyDescent="0.25">
      <c r="A468" s="123" t="s">
        <v>297</v>
      </c>
      <c r="B468" s="132" t="s">
        <v>71</v>
      </c>
      <c r="C468" s="132" t="s">
        <v>127</v>
      </c>
      <c r="D468" s="132" t="s">
        <v>153</v>
      </c>
      <c r="E468" s="132" t="s">
        <v>165</v>
      </c>
      <c r="F468" s="132" t="s">
        <v>166</v>
      </c>
      <c r="G468" s="132" t="s">
        <v>76</v>
      </c>
      <c r="H468" s="132" t="s">
        <v>298</v>
      </c>
      <c r="I468" s="79" t="s">
        <v>78</v>
      </c>
      <c r="J468" s="79" t="s">
        <v>78</v>
      </c>
      <c r="K468" s="79" t="s">
        <v>3</v>
      </c>
      <c r="L468" s="132" t="s">
        <v>125</v>
      </c>
      <c r="M468" s="132"/>
      <c r="N468" s="132" t="s">
        <v>126</v>
      </c>
      <c r="O468" s="132" t="s">
        <v>94</v>
      </c>
      <c r="P468" s="140">
        <v>0.03</v>
      </c>
      <c r="Q468" s="134"/>
      <c r="R468" s="132"/>
      <c r="S468" s="141">
        <v>6504.6216901406997</v>
      </c>
      <c r="T468" s="141"/>
      <c r="U468" s="141">
        <v>0</v>
      </c>
      <c r="V468" s="136">
        <f t="shared" si="97"/>
        <v>6504.6216901406997</v>
      </c>
      <c r="W468" s="141">
        <f t="shared" si="103"/>
        <v>0</v>
      </c>
      <c r="X468" s="132"/>
      <c r="Y468" s="50">
        <f t="shared" si="106"/>
        <v>0</v>
      </c>
      <c r="Z468" s="50">
        <f t="shared" si="107"/>
        <v>0</v>
      </c>
      <c r="AA468" s="137">
        <f t="shared" ref="AA468:AA498" si="108">U468-W468</f>
        <v>0</v>
      </c>
      <c r="AB468" s="136">
        <f t="shared" si="104"/>
        <v>0</v>
      </c>
      <c r="AC468" s="138">
        <v>0.05</v>
      </c>
      <c r="AD468" s="136">
        <f t="shared" si="99"/>
        <v>0</v>
      </c>
      <c r="AE468" s="132"/>
      <c r="AF468" s="132"/>
      <c r="AG468" s="140">
        <v>0</v>
      </c>
      <c r="AH468" s="136">
        <f t="shared" si="100"/>
        <v>0</v>
      </c>
      <c r="AI468" s="141">
        <v>0</v>
      </c>
      <c r="AJ468" s="136">
        <f t="shared" ref="AJ468:AJ493" si="109">T468*AG468</f>
        <v>0</v>
      </c>
      <c r="AK468" s="141">
        <v>0</v>
      </c>
      <c r="AL468" s="136">
        <f t="shared" ref="AL468:AL493" si="110">AI468+AJ468-AK468+U468</f>
        <v>0</v>
      </c>
      <c r="AM468" s="141">
        <f t="shared" si="105"/>
        <v>0</v>
      </c>
    </row>
    <row r="469" spans="1:40" hidden="1" x14ac:dyDescent="0.25">
      <c r="A469" s="123" t="s">
        <v>297</v>
      </c>
      <c r="B469" s="132" t="s">
        <v>71</v>
      </c>
      <c r="C469" s="132" t="s">
        <v>127</v>
      </c>
      <c r="D469" s="132" t="s">
        <v>153</v>
      </c>
      <c r="E469" s="132" t="s">
        <v>167</v>
      </c>
      <c r="F469" s="132" t="s">
        <v>168</v>
      </c>
      <c r="G469" s="132" t="s">
        <v>76</v>
      </c>
      <c r="H469" s="132" t="s">
        <v>298</v>
      </c>
      <c r="I469" s="79" t="s">
        <v>78</v>
      </c>
      <c r="J469" s="79" t="s">
        <v>78</v>
      </c>
      <c r="K469" s="79" t="s">
        <v>3</v>
      </c>
      <c r="L469" s="132" t="s">
        <v>125</v>
      </c>
      <c r="M469" s="132"/>
      <c r="N469" s="132" t="s">
        <v>126</v>
      </c>
      <c r="O469" s="132" t="s">
        <v>94</v>
      </c>
      <c r="P469" s="140">
        <v>0.18</v>
      </c>
      <c r="Q469" s="134"/>
      <c r="R469" s="132"/>
      <c r="S469" s="141">
        <v>44820.261970721403</v>
      </c>
      <c r="T469" s="141"/>
      <c r="U469" s="141">
        <v>0</v>
      </c>
      <c r="V469" s="136">
        <f t="shared" si="97"/>
        <v>44820.261970721403</v>
      </c>
      <c r="W469" s="141">
        <f t="shared" si="103"/>
        <v>0</v>
      </c>
      <c r="X469" s="132"/>
      <c r="Y469" s="50">
        <f t="shared" si="106"/>
        <v>0</v>
      </c>
      <c r="Z469" s="50">
        <f t="shared" si="107"/>
        <v>0</v>
      </c>
      <c r="AA469" s="137">
        <f t="shared" si="108"/>
        <v>0</v>
      </c>
      <c r="AB469" s="136">
        <f t="shared" si="104"/>
        <v>0</v>
      </c>
      <c r="AC469" s="138">
        <v>0.05</v>
      </c>
      <c r="AD469" s="136">
        <f t="shared" si="99"/>
        <v>0</v>
      </c>
      <c r="AE469" s="132"/>
      <c r="AF469" s="132"/>
      <c r="AG469" s="140">
        <v>0.42</v>
      </c>
      <c r="AH469" s="136">
        <f t="shared" si="100"/>
        <v>0</v>
      </c>
      <c r="AI469" s="141">
        <v>0</v>
      </c>
      <c r="AJ469" s="136">
        <f t="shared" si="109"/>
        <v>0</v>
      </c>
      <c r="AK469" s="141">
        <v>0</v>
      </c>
      <c r="AL469" s="136">
        <f t="shared" si="110"/>
        <v>0</v>
      </c>
      <c r="AM469" s="141">
        <f t="shared" si="105"/>
        <v>0</v>
      </c>
    </row>
    <row r="470" spans="1:40" hidden="1" x14ac:dyDescent="0.25">
      <c r="A470" s="123" t="s">
        <v>297</v>
      </c>
      <c r="B470" s="132" t="s">
        <v>71</v>
      </c>
      <c r="C470" s="132" t="s">
        <v>127</v>
      </c>
      <c r="D470" s="132" t="s">
        <v>153</v>
      </c>
      <c r="E470" s="132" t="s">
        <v>169</v>
      </c>
      <c r="F470" s="132" t="s">
        <v>170</v>
      </c>
      <c r="G470" s="132" t="s">
        <v>76</v>
      </c>
      <c r="H470" s="132" t="s">
        <v>298</v>
      </c>
      <c r="I470" s="79" t="s">
        <v>78</v>
      </c>
      <c r="J470" s="79" t="s">
        <v>78</v>
      </c>
      <c r="K470" s="79" t="s">
        <v>3</v>
      </c>
      <c r="L470" s="132" t="s">
        <v>125</v>
      </c>
      <c r="M470" s="132"/>
      <c r="N470" s="132" t="s">
        <v>126</v>
      </c>
      <c r="O470" s="132" t="s">
        <v>94</v>
      </c>
      <c r="P470" s="140">
        <v>0.23</v>
      </c>
      <c r="Q470" s="134"/>
      <c r="R470" s="132"/>
      <c r="S470" s="141">
        <v>132154.611549297</v>
      </c>
      <c r="T470" s="141"/>
      <c r="U470" s="141">
        <v>0</v>
      </c>
      <c r="V470" s="136">
        <f t="shared" si="97"/>
        <v>132154.611549297</v>
      </c>
      <c r="W470" s="141">
        <f t="shared" si="103"/>
        <v>0</v>
      </c>
      <c r="X470" s="132"/>
      <c r="Y470" s="50">
        <f t="shared" si="106"/>
        <v>0</v>
      </c>
      <c r="Z470" s="50">
        <f t="shared" si="107"/>
        <v>0</v>
      </c>
      <c r="AA470" s="137">
        <f t="shared" si="108"/>
        <v>0</v>
      </c>
      <c r="AB470" s="136">
        <f t="shared" si="104"/>
        <v>0</v>
      </c>
      <c r="AC470" s="138">
        <v>0.05</v>
      </c>
      <c r="AD470" s="136">
        <f t="shared" si="99"/>
        <v>0</v>
      </c>
      <c r="AE470" s="132"/>
      <c r="AF470" s="132"/>
      <c r="AG470" s="140">
        <v>0.42</v>
      </c>
      <c r="AH470" s="136">
        <f t="shared" si="100"/>
        <v>0</v>
      </c>
      <c r="AI470" s="141">
        <v>0</v>
      </c>
      <c r="AJ470" s="136">
        <f t="shared" si="109"/>
        <v>0</v>
      </c>
      <c r="AK470" s="141">
        <v>0</v>
      </c>
      <c r="AL470" s="136">
        <f t="shared" si="110"/>
        <v>0</v>
      </c>
      <c r="AM470" s="141">
        <f t="shared" si="105"/>
        <v>0</v>
      </c>
    </row>
    <row r="471" spans="1:40" hidden="1" x14ac:dyDescent="0.25">
      <c r="A471" s="123" t="s">
        <v>297</v>
      </c>
      <c r="B471" s="132" t="s">
        <v>71</v>
      </c>
      <c r="C471" s="132" t="s">
        <v>127</v>
      </c>
      <c r="D471" s="132" t="s">
        <v>153</v>
      </c>
      <c r="E471" s="132" t="s">
        <v>171</v>
      </c>
      <c r="F471" s="132" t="s">
        <v>172</v>
      </c>
      <c r="G471" s="132" t="s">
        <v>76</v>
      </c>
      <c r="H471" s="132" t="s">
        <v>298</v>
      </c>
      <c r="I471" s="79" t="s">
        <v>78</v>
      </c>
      <c r="J471" s="79" t="s">
        <v>78</v>
      </c>
      <c r="K471" s="79" t="s">
        <v>3</v>
      </c>
      <c r="L471" s="132" t="s">
        <v>125</v>
      </c>
      <c r="M471" s="132"/>
      <c r="N471" s="132" t="s">
        <v>126</v>
      </c>
      <c r="O471" s="132" t="s">
        <v>94</v>
      </c>
      <c r="P471" s="140">
        <v>0.03</v>
      </c>
      <c r="Q471" s="134"/>
      <c r="R471" s="132"/>
      <c r="S471" s="141">
        <v>14157.309295774699</v>
      </c>
      <c r="T471" s="141"/>
      <c r="U471" s="141">
        <v>0</v>
      </c>
      <c r="V471" s="136">
        <f t="shared" si="97"/>
        <v>14157.309295774699</v>
      </c>
      <c r="W471" s="141">
        <f t="shared" si="103"/>
        <v>0</v>
      </c>
      <c r="X471" s="132"/>
      <c r="Y471" s="50">
        <f t="shared" si="106"/>
        <v>0</v>
      </c>
      <c r="Z471" s="50">
        <f t="shared" si="107"/>
        <v>0</v>
      </c>
      <c r="AA471" s="137">
        <f t="shared" si="108"/>
        <v>0</v>
      </c>
      <c r="AB471" s="136">
        <f t="shared" si="104"/>
        <v>0</v>
      </c>
      <c r="AC471" s="138">
        <v>0.05</v>
      </c>
      <c r="AD471" s="136">
        <f t="shared" si="99"/>
        <v>0</v>
      </c>
      <c r="AE471" s="132"/>
      <c r="AF471" s="132"/>
      <c r="AG471" s="140">
        <v>0.42</v>
      </c>
      <c r="AH471" s="136">
        <f t="shared" si="100"/>
        <v>0</v>
      </c>
      <c r="AI471" s="141">
        <v>0</v>
      </c>
      <c r="AJ471" s="136">
        <f t="shared" si="109"/>
        <v>0</v>
      </c>
      <c r="AK471" s="141">
        <v>0</v>
      </c>
      <c r="AL471" s="136">
        <f t="shared" si="110"/>
        <v>0</v>
      </c>
      <c r="AM471" s="141">
        <f t="shared" si="105"/>
        <v>0</v>
      </c>
    </row>
    <row r="472" spans="1:40" hidden="1" x14ac:dyDescent="0.25">
      <c r="A472" s="123" t="s">
        <v>297</v>
      </c>
      <c r="B472" s="132" t="s">
        <v>71</v>
      </c>
      <c r="C472" s="132" t="s">
        <v>127</v>
      </c>
      <c r="D472" s="132" t="s">
        <v>153</v>
      </c>
      <c r="E472" s="132" t="s">
        <v>173</v>
      </c>
      <c r="F472" s="132" t="s">
        <v>174</v>
      </c>
      <c r="G472" s="132" t="s">
        <v>76</v>
      </c>
      <c r="H472" s="132" t="s">
        <v>298</v>
      </c>
      <c r="I472" s="79" t="s">
        <v>78</v>
      </c>
      <c r="J472" s="79" t="s">
        <v>78</v>
      </c>
      <c r="K472" s="79" t="s">
        <v>3</v>
      </c>
      <c r="L472" s="132" t="s">
        <v>125</v>
      </c>
      <c r="M472" s="132"/>
      <c r="N472" s="132" t="s">
        <v>126</v>
      </c>
      <c r="O472" s="132" t="s">
        <v>94</v>
      </c>
      <c r="P472" s="140">
        <v>0.03</v>
      </c>
      <c r="Q472" s="134"/>
      <c r="R472" s="132"/>
      <c r="S472" s="141">
        <v>480.55873239384499</v>
      </c>
      <c r="T472" s="141"/>
      <c r="U472" s="141">
        <v>0</v>
      </c>
      <c r="V472" s="136">
        <f t="shared" si="97"/>
        <v>480.55873239384499</v>
      </c>
      <c r="W472" s="141">
        <f t="shared" si="103"/>
        <v>0</v>
      </c>
      <c r="X472" s="132"/>
      <c r="Y472" s="50">
        <f t="shared" si="106"/>
        <v>0</v>
      </c>
      <c r="Z472" s="50">
        <f t="shared" si="107"/>
        <v>0</v>
      </c>
      <c r="AA472" s="137">
        <f t="shared" si="108"/>
        <v>0</v>
      </c>
      <c r="AB472" s="136">
        <f t="shared" si="104"/>
        <v>0</v>
      </c>
      <c r="AC472" s="138">
        <v>0.05</v>
      </c>
      <c r="AD472" s="136">
        <f t="shared" si="99"/>
        <v>0</v>
      </c>
      <c r="AE472" s="132"/>
      <c r="AF472" s="132"/>
      <c r="AG472" s="140">
        <v>0.42</v>
      </c>
      <c r="AH472" s="136">
        <f t="shared" si="100"/>
        <v>0</v>
      </c>
      <c r="AI472" s="141">
        <v>0</v>
      </c>
      <c r="AJ472" s="136">
        <f t="shared" si="109"/>
        <v>0</v>
      </c>
      <c r="AK472" s="141">
        <v>0</v>
      </c>
      <c r="AL472" s="136">
        <f t="shared" si="110"/>
        <v>0</v>
      </c>
      <c r="AM472" s="141">
        <f t="shared" si="105"/>
        <v>0</v>
      </c>
    </row>
    <row r="473" spans="1:40" hidden="1" x14ac:dyDescent="0.25">
      <c r="A473" s="123" t="s">
        <v>297</v>
      </c>
      <c r="B473" s="132" t="s">
        <v>71</v>
      </c>
      <c r="C473" s="132" t="s">
        <v>127</v>
      </c>
      <c r="D473" s="132" t="s">
        <v>153</v>
      </c>
      <c r="E473" s="132" t="s">
        <v>175</v>
      </c>
      <c r="F473" s="132" t="s">
        <v>176</v>
      </c>
      <c r="G473" s="132" t="s">
        <v>76</v>
      </c>
      <c r="H473" s="132" t="s">
        <v>298</v>
      </c>
      <c r="I473" s="79" t="s">
        <v>78</v>
      </c>
      <c r="J473" s="79" t="s">
        <v>78</v>
      </c>
      <c r="K473" s="79" t="s">
        <v>3</v>
      </c>
      <c r="L473" s="132" t="s">
        <v>125</v>
      </c>
      <c r="M473" s="132"/>
      <c r="N473" s="132" t="s">
        <v>126</v>
      </c>
      <c r="O473" s="132" t="s">
        <v>94</v>
      </c>
      <c r="P473" s="140">
        <v>0.23</v>
      </c>
      <c r="Q473" s="134"/>
      <c r="R473" s="132"/>
      <c r="S473" s="141">
        <v>88.72</v>
      </c>
      <c r="T473" s="141"/>
      <c r="U473" s="141">
        <v>0</v>
      </c>
      <c r="V473" s="136">
        <f t="shared" si="97"/>
        <v>88.72</v>
      </c>
      <c r="W473" s="141">
        <f t="shared" ref="W473:W493" si="111">IF(O473="返现",U473,IF(O473="折扣",U473*P473,U473*(1+AG473)/(1+P473+AG473)))</f>
        <v>0</v>
      </c>
      <c r="X473" s="132"/>
      <c r="Y473" s="50">
        <f t="shared" si="106"/>
        <v>0</v>
      </c>
      <c r="Z473" s="50">
        <f t="shared" si="107"/>
        <v>0</v>
      </c>
      <c r="AA473" s="137">
        <f t="shared" si="108"/>
        <v>0</v>
      </c>
      <c r="AB473" s="136">
        <f t="shared" ref="AB473:AB493" si="112">U473</f>
        <v>0</v>
      </c>
      <c r="AC473" s="138">
        <v>0.05</v>
      </c>
      <c r="AD473" s="136">
        <f t="shared" si="99"/>
        <v>0</v>
      </c>
      <c r="AE473" s="132"/>
      <c r="AF473" s="132"/>
      <c r="AG473" s="140">
        <v>0.42</v>
      </c>
      <c r="AH473" s="136">
        <f t="shared" si="100"/>
        <v>0</v>
      </c>
      <c r="AI473" s="141">
        <v>0</v>
      </c>
      <c r="AJ473" s="136">
        <f t="shared" si="109"/>
        <v>0</v>
      </c>
      <c r="AK473" s="141">
        <v>0</v>
      </c>
      <c r="AL473" s="136">
        <f t="shared" si="110"/>
        <v>0</v>
      </c>
      <c r="AM473" s="141">
        <f t="shared" ref="AM473:AM493" si="113">IF(O473="返现",AK473/(1+AG473),IF(O473="折扣",AK473*P473,AK473/(1+P473+AG473)))</f>
        <v>0</v>
      </c>
    </row>
    <row r="474" spans="1:40" hidden="1" x14ac:dyDescent="0.25">
      <c r="A474" s="123" t="s">
        <v>297</v>
      </c>
      <c r="B474" s="132" t="s">
        <v>71</v>
      </c>
      <c r="C474" s="132" t="s">
        <v>127</v>
      </c>
      <c r="D474" s="132" t="s">
        <v>153</v>
      </c>
      <c r="E474" s="132" t="s">
        <v>177</v>
      </c>
      <c r="F474" s="132" t="s">
        <v>178</v>
      </c>
      <c r="G474" s="132" t="s">
        <v>76</v>
      </c>
      <c r="H474" s="132" t="s">
        <v>298</v>
      </c>
      <c r="I474" s="79" t="s">
        <v>78</v>
      </c>
      <c r="J474" s="79" t="s">
        <v>78</v>
      </c>
      <c r="K474" s="79" t="s">
        <v>3</v>
      </c>
      <c r="L474" s="132" t="s">
        <v>125</v>
      </c>
      <c r="M474" s="132"/>
      <c r="N474" s="132" t="s">
        <v>126</v>
      </c>
      <c r="O474" s="132" t="s">
        <v>94</v>
      </c>
      <c r="P474" s="140">
        <v>0.18</v>
      </c>
      <c r="Q474" s="134"/>
      <c r="R474" s="132"/>
      <c r="S474" s="141">
        <v>147.29985915508601</v>
      </c>
      <c r="T474" s="141"/>
      <c r="U474" s="141">
        <v>0</v>
      </c>
      <c r="V474" s="136">
        <f t="shared" si="97"/>
        <v>147.29985915508601</v>
      </c>
      <c r="W474" s="141">
        <f t="shared" si="111"/>
        <v>0</v>
      </c>
      <c r="X474" s="132"/>
      <c r="Y474" s="50">
        <f t="shared" si="106"/>
        <v>0</v>
      </c>
      <c r="Z474" s="50">
        <f t="shared" si="107"/>
        <v>0</v>
      </c>
      <c r="AA474" s="137">
        <f t="shared" si="108"/>
        <v>0</v>
      </c>
      <c r="AB474" s="136">
        <f t="shared" si="112"/>
        <v>0</v>
      </c>
      <c r="AC474" s="138">
        <v>0.05</v>
      </c>
      <c r="AD474" s="136">
        <f t="shared" si="99"/>
        <v>0</v>
      </c>
      <c r="AE474" s="132"/>
      <c r="AF474" s="132"/>
      <c r="AG474" s="140">
        <v>0.42</v>
      </c>
      <c r="AH474" s="136">
        <f t="shared" si="100"/>
        <v>0</v>
      </c>
      <c r="AI474" s="141">
        <v>0</v>
      </c>
      <c r="AJ474" s="136">
        <f t="shared" si="109"/>
        <v>0</v>
      </c>
      <c r="AK474" s="141">
        <v>0</v>
      </c>
      <c r="AL474" s="136">
        <f t="shared" si="110"/>
        <v>0</v>
      </c>
      <c r="AM474" s="141">
        <f t="shared" si="113"/>
        <v>0</v>
      </c>
    </row>
    <row r="475" spans="1:40" hidden="1" x14ac:dyDescent="0.25">
      <c r="A475" s="123" t="s">
        <v>297</v>
      </c>
      <c r="B475" s="132" t="s">
        <v>71</v>
      </c>
      <c r="C475" s="132" t="s">
        <v>127</v>
      </c>
      <c r="D475" s="132" t="s">
        <v>153</v>
      </c>
      <c r="E475" s="132" t="s">
        <v>179</v>
      </c>
      <c r="F475" s="132" t="s">
        <v>180</v>
      </c>
      <c r="G475" s="132" t="s">
        <v>76</v>
      </c>
      <c r="H475" s="132" t="s">
        <v>298</v>
      </c>
      <c r="I475" s="79" t="s">
        <v>78</v>
      </c>
      <c r="J475" s="79" t="s">
        <v>78</v>
      </c>
      <c r="K475" s="79" t="s">
        <v>3</v>
      </c>
      <c r="L475" s="132" t="s">
        <v>125</v>
      </c>
      <c r="M475" s="132"/>
      <c r="N475" s="132" t="s">
        <v>126</v>
      </c>
      <c r="O475" s="132" t="s">
        <v>94</v>
      </c>
      <c r="P475" s="140">
        <v>0.18</v>
      </c>
      <c r="Q475" s="134"/>
      <c r="R475" s="132"/>
      <c r="S475" s="141">
        <v>4215.2245070423196</v>
      </c>
      <c r="T475" s="141"/>
      <c r="U475" s="141">
        <v>0</v>
      </c>
      <c r="V475" s="136">
        <f t="shared" si="97"/>
        <v>4215.2245070423196</v>
      </c>
      <c r="W475" s="141">
        <f t="shared" si="111"/>
        <v>0</v>
      </c>
      <c r="X475" s="132"/>
      <c r="Y475" s="50">
        <f t="shared" si="106"/>
        <v>0</v>
      </c>
      <c r="Z475" s="50">
        <f t="shared" si="107"/>
        <v>0</v>
      </c>
      <c r="AA475" s="137">
        <f t="shared" si="108"/>
        <v>0</v>
      </c>
      <c r="AB475" s="136">
        <f t="shared" si="112"/>
        <v>0</v>
      </c>
      <c r="AC475" s="138">
        <v>0.05</v>
      </c>
      <c r="AD475" s="136">
        <f t="shared" si="99"/>
        <v>0</v>
      </c>
      <c r="AE475" s="132"/>
      <c r="AF475" s="132"/>
      <c r="AG475" s="140">
        <v>0.42</v>
      </c>
      <c r="AH475" s="136">
        <f t="shared" si="100"/>
        <v>0</v>
      </c>
      <c r="AI475" s="141">
        <v>0</v>
      </c>
      <c r="AJ475" s="136">
        <f t="shared" si="109"/>
        <v>0</v>
      </c>
      <c r="AK475" s="141">
        <v>0</v>
      </c>
      <c r="AL475" s="136">
        <f t="shared" si="110"/>
        <v>0</v>
      </c>
      <c r="AM475" s="141">
        <f t="shared" si="113"/>
        <v>0</v>
      </c>
    </row>
    <row r="476" spans="1:40" hidden="1" x14ac:dyDescent="0.25">
      <c r="A476" s="123" t="s">
        <v>297</v>
      </c>
      <c r="B476" s="132" t="s">
        <v>71</v>
      </c>
      <c r="C476" s="132" t="s">
        <v>127</v>
      </c>
      <c r="D476" s="132" t="s">
        <v>153</v>
      </c>
      <c r="E476" s="132" t="s">
        <v>181</v>
      </c>
      <c r="F476" s="132" t="s">
        <v>182</v>
      </c>
      <c r="G476" s="132" t="s">
        <v>76</v>
      </c>
      <c r="H476" s="132" t="s">
        <v>298</v>
      </c>
      <c r="I476" s="79" t="s">
        <v>78</v>
      </c>
      <c r="J476" s="79" t="s">
        <v>78</v>
      </c>
      <c r="K476" s="79" t="s">
        <v>3</v>
      </c>
      <c r="L476" s="132" t="s">
        <v>125</v>
      </c>
      <c r="M476" s="132"/>
      <c r="N476" s="132" t="s">
        <v>126</v>
      </c>
      <c r="O476" s="132" t="s">
        <v>94</v>
      </c>
      <c r="P476" s="140">
        <v>0.23</v>
      </c>
      <c r="Q476" s="134"/>
      <c r="R476" s="132"/>
      <c r="S476" s="141">
        <v>127.3395774647</v>
      </c>
      <c r="T476" s="141"/>
      <c r="U476" s="141">
        <v>0</v>
      </c>
      <c r="V476" s="136">
        <f t="shared" si="97"/>
        <v>127.3395774647</v>
      </c>
      <c r="W476" s="141">
        <f t="shared" si="111"/>
        <v>0</v>
      </c>
      <c r="X476" s="132"/>
      <c r="Y476" s="50">
        <f t="shared" si="106"/>
        <v>0</v>
      </c>
      <c r="Z476" s="50">
        <f t="shared" si="107"/>
        <v>0</v>
      </c>
      <c r="AA476" s="137">
        <f t="shared" si="108"/>
        <v>0</v>
      </c>
      <c r="AB476" s="136">
        <f t="shared" si="112"/>
        <v>0</v>
      </c>
      <c r="AC476" s="138">
        <v>0.05</v>
      </c>
      <c r="AD476" s="136">
        <f t="shared" si="99"/>
        <v>0</v>
      </c>
      <c r="AE476" s="132"/>
      <c r="AF476" s="132"/>
      <c r="AG476" s="140">
        <v>0.42</v>
      </c>
      <c r="AH476" s="136">
        <f t="shared" si="100"/>
        <v>0</v>
      </c>
      <c r="AI476" s="141">
        <v>0</v>
      </c>
      <c r="AJ476" s="136">
        <f t="shared" si="109"/>
        <v>0</v>
      </c>
      <c r="AK476" s="141">
        <v>0</v>
      </c>
      <c r="AL476" s="136">
        <f t="shared" si="110"/>
        <v>0</v>
      </c>
      <c r="AM476" s="141">
        <f t="shared" si="113"/>
        <v>0</v>
      </c>
    </row>
    <row r="477" spans="1:40" hidden="1" x14ac:dyDescent="0.25">
      <c r="A477" s="123" t="s">
        <v>297</v>
      </c>
      <c r="B477" s="132" t="s">
        <v>71</v>
      </c>
      <c r="C477" s="132" t="s">
        <v>127</v>
      </c>
      <c r="D477" s="132" t="s">
        <v>153</v>
      </c>
      <c r="E477" s="132" t="s">
        <v>183</v>
      </c>
      <c r="F477" s="132" t="s">
        <v>184</v>
      </c>
      <c r="G477" s="132" t="s">
        <v>76</v>
      </c>
      <c r="H477" s="132" t="s">
        <v>298</v>
      </c>
      <c r="I477" s="79" t="s">
        <v>78</v>
      </c>
      <c r="J477" s="79" t="s">
        <v>78</v>
      </c>
      <c r="K477" s="79" t="s">
        <v>3</v>
      </c>
      <c r="L477" s="132" t="s">
        <v>125</v>
      </c>
      <c r="M477" s="132"/>
      <c r="N477" s="132" t="s">
        <v>126</v>
      </c>
      <c r="O477" s="132" t="s">
        <v>94</v>
      </c>
      <c r="P477" s="140">
        <v>0.23</v>
      </c>
      <c r="Q477" s="134"/>
      <c r="R477" s="132"/>
      <c r="S477" s="141">
        <v>172.66352112698999</v>
      </c>
      <c r="T477" s="141"/>
      <c r="U477" s="141">
        <v>0</v>
      </c>
      <c r="V477" s="136">
        <f t="shared" si="97"/>
        <v>172.66352112698999</v>
      </c>
      <c r="W477" s="141">
        <f t="shared" si="111"/>
        <v>0</v>
      </c>
      <c r="X477" s="132"/>
      <c r="Y477" s="50">
        <f t="shared" si="106"/>
        <v>0</v>
      </c>
      <c r="Z477" s="50">
        <f t="shared" si="107"/>
        <v>0</v>
      </c>
      <c r="AA477" s="137">
        <f t="shared" si="108"/>
        <v>0</v>
      </c>
      <c r="AB477" s="136">
        <f t="shared" si="112"/>
        <v>0</v>
      </c>
      <c r="AC477" s="138">
        <v>0.05</v>
      </c>
      <c r="AD477" s="136">
        <f t="shared" si="99"/>
        <v>0</v>
      </c>
      <c r="AE477" s="132"/>
      <c r="AF477" s="132"/>
      <c r="AG477" s="140">
        <v>0.42</v>
      </c>
      <c r="AH477" s="136">
        <f t="shared" si="100"/>
        <v>0</v>
      </c>
      <c r="AI477" s="141">
        <v>0</v>
      </c>
      <c r="AJ477" s="136">
        <f t="shared" si="109"/>
        <v>0</v>
      </c>
      <c r="AK477" s="141">
        <v>0</v>
      </c>
      <c r="AL477" s="136">
        <f t="shared" si="110"/>
        <v>0</v>
      </c>
      <c r="AM477" s="141">
        <f t="shared" si="113"/>
        <v>0</v>
      </c>
    </row>
    <row r="478" spans="1:40" hidden="1" x14ac:dyDescent="0.25">
      <c r="A478" s="123" t="s">
        <v>297</v>
      </c>
      <c r="B478" s="132" t="s">
        <v>71</v>
      </c>
      <c r="C478" s="132" t="s">
        <v>127</v>
      </c>
      <c r="D478" s="132" t="s">
        <v>153</v>
      </c>
      <c r="E478" s="132" t="s">
        <v>185</v>
      </c>
      <c r="F478" s="132" t="s">
        <v>186</v>
      </c>
      <c r="G478" s="132" t="s">
        <v>76</v>
      </c>
      <c r="H478" s="132" t="s">
        <v>298</v>
      </c>
      <c r="I478" s="79" t="s">
        <v>78</v>
      </c>
      <c r="J478" s="79" t="s">
        <v>78</v>
      </c>
      <c r="K478" s="79" t="s">
        <v>3</v>
      </c>
      <c r="L478" s="132" t="s">
        <v>125</v>
      </c>
      <c r="M478" s="132"/>
      <c r="N478" s="132" t="s">
        <v>126</v>
      </c>
      <c r="O478" s="132" t="s">
        <v>94</v>
      </c>
      <c r="P478" s="140">
        <v>0.08</v>
      </c>
      <c r="Q478" s="134"/>
      <c r="R478" s="132"/>
      <c r="S478" s="141">
        <v>11055.15</v>
      </c>
      <c r="T478" s="141"/>
      <c r="U478" s="141">
        <v>0</v>
      </c>
      <c r="V478" s="136">
        <f t="shared" si="97"/>
        <v>11055.15</v>
      </c>
      <c r="W478" s="141">
        <f t="shared" si="111"/>
        <v>0</v>
      </c>
      <c r="X478" s="132"/>
      <c r="Y478" s="50">
        <f t="shared" si="106"/>
        <v>0</v>
      </c>
      <c r="Z478" s="50">
        <f t="shared" si="107"/>
        <v>0</v>
      </c>
      <c r="AA478" s="137">
        <f t="shared" si="108"/>
        <v>0</v>
      </c>
      <c r="AB478" s="136">
        <f t="shared" si="112"/>
        <v>0</v>
      </c>
      <c r="AC478" s="138">
        <v>0.05</v>
      </c>
      <c r="AD478" s="136">
        <f t="shared" si="99"/>
        <v>0</v>
      </c>
      <c r="AE478" s="132"/>
      <c r="AF478" s="132"/>
      <c r="AG478" s="140">
        <v>0.42</v>
      </c>
      <c r="AH478" s="136">
        <f t="shared" si="100"/>
        <v>0</v>
      </c>
      <c r="AI478" s="141">
        <v>0</v>
      </c>
      <c r="AJ478" s="136">
        <f t="shared" si="109"/>
        <v>0</v>
      </c>
      <c r="AK478" s="141">
        <v>0</v>
      </c>
      <c r="AL478" s="136">
        <f t="shared" si="110"/>
        <v>0</v>
      </c>
      <c r="AM478" s="141">
        <f t="shared" si="113"/>
        <v>0</v>
      </c>
    </row>
    <row r="479" spans="1:40" hidden="1" x14ac:dyDescent="0.25">
      <c r="A479" s="123" t="s">
        <v>297</v>
      </c>
      <c r="B479" s="132" t="s">
        <v>3</v>
      </c>
      <c r="C479" s="132" t="s">
        <v>100</v>
      </c>
      <c r="D479" s="132" t="s">
        <v>101</v>
      </c>
      <c r="E479" s="132" t="s">
        <v>121</v>
      </c>
      <c r="F479" s="132" t="s">
        <v>121</v>
      </c>
      <c r="G479" s="132" t="s">
        <v>121</v>
      </c>
      <c r="H479" s="132" t="s">
        <v>298</v>
      </c>
      <c r="I479" s="79" t="s">
        <v>78</v>
      </c>
      <c r="J479" s="79" t="s">
        <v>78</v>
      </c>
      <c r="K479" s="79" t="s">
        <v>3</v>
      </c>
      <c r="L479" s="132" t="s">
        <v>121</v>
      </c>
      <c r="M479" s="132"/>
      <c r="N479" s="132" t="s">
        <v>86</v>
      </c>
      <c r="O479" s="132" t="s">
        <v>94</v>
      </c>
      <c r="P479" s="140">
        <v>5.5E-2</v>
      </c>
      <c r="Q479" s="134"/>
      <c r="R479" s="132"/>
      <c r="S479" s="141">
        <v>141426.28</v>
      </c>
      <c r="T479" s="141"/>
      <c r="U479" s="141">
        <v>0</v>
      </c>
      <c r="V479" s="136">
        <f t="shared" si="97"/>
        <v>141426.28</v>
      </c>
      <c r="W479" s="141">
        <f t="shared" si="111"/>
        <v>0</v>
      </c>
      <c r="X479" s="132"/>
      <c r="Y479" s="50">
        <f t="shared" si="106"/>
        <v>0</v>
      </c>
      <c r="Z479" s="50">
        <f t="shared" si="107"/>
        <v>17.472803347280337</v>
      </c>
      <c r="AA479" s="137">
        <f t="shared" si="108"/>
        <v>0</v>
      </c>
      <c r="AB479" s="136">
        <f t="shared" si="112"/>
        <v>0</v>
      </c>
      <c r="AC479" s="138">
        <v>0.05</v>
      </c>
      <c r="AD479" s="136">
        <f t="shared" si="99"/>
        <v>0</v>
      </c>
      <c r="AE479" s="132"/>
      <c r="AF479" s="132"/>
      <c r="AG479" s="140">
        <v>0.14000000000000001</v>
      </c>
      <c r="AH479" s="136">
        <f t="shared" si="100"/>
        <v>18.315789473684209</v>
      </c>
      <c r="AI479" s="141">
        <v>-14367.41</v>
      </c>
      <c r="AJ479" s="136">
        <f t="shared" si="109"/>
        <v>0</v>
      </c>
      <c r="AK479" s="141">
        <v>20.88</v>
      </c>
      <c r="AL479" s="136">
        <f t="shared" si="110"/>
        <v>-14388.289999999999</v>
      </c>
      <c r="AM479" s="141">
        <f t="shared" si="113"/>
        <v>17.472803347280337</v>
      </c>
      <c r="AN479" s="99">
        <f>AM479-W479</f>
        <v>17.472803347280337</v>
      </c>
    </row>
    <row r="480" spans="1:40" hidden="1" x14ac:dyDescent="0.25">
      <c r="A480" s="123" t="s">
        <v>297</v>
      </c>
      <c r="B480" s="132" t="s">
        <v>3</v>
      </c>
      <c r="C480" s="132" t="s">
        <v>90</v>
      </c>
      <c r="D480" s="132" t="s">
        <v>114</v>
      </c>
      <c r="E480" s="132" t="s">
        <v>115</v>
      </c>
      <c r="F480" s="132" t="s">
        <v>115</v>
      </c>
      <c r="G480" s="132" t="s">
        <v>115</v>
      </c>
      <c r="H480" s="132" t="s">
        <v>298</v>
      </c>
      <c r="I480" s="79" t="s">
        <v>78</v>
      </c>
      <c r="J480" s="79" t="s">
        <v>78</v>
      </c>
      <c r="K480" s="79" t="s">
        <v>3</v>
      </c>
      <c r="L480" s="132" t="s">
        <v>116</v>
      </c>
      <c r="M480" s="132"/>
      <c r="N480" s="132" t="s">
        <v>86</v>
      </c>
      <c r="O480" s="132" t="s">
        <v>94</v>
      </c>
      <c r="P480" s="140">
        <v>-0.15</v>
      </c>
      <c r="Q480" s="134"/>
      <c r="R480" s="132"/>
      <c r="S480" s="141">
        <v>205.52</v>
      </c>
      <c r="T480" s="141"/>
      <c r="U480" s="141">
        <v>0</v>
      </c>
      <c r="V480" s="136">
        <f t="shared" si="97"/>
        <v>205.52</v>
      </c>
      <c r="W480" s="141">
        <f t="shared" si="111"/>
        <v>0</v>
      </c>
      <c r="X480" s="132"/>
      <c r="Y480" s="50">
        <f t="shared" si="106"/>
        <v>0</v>
      </c>
      <c r="Z480" s="50">
        <f t="shared" si="107"/>
        <v>0</v>
      </c>
      <c r="AA480" s="137">
        <f t="shared" si="108"/>
        <v>0</v>
      </c>
      <c r="AB480" s="136">
        <f t="shared" si="112"/>
        <v>0</v>
      </c>
      <c r="AC480" s="138">
        <v>0.05</v>
      </c>
      <c r="AD480" s="136">
        <f t="shared" si="99"/>
        <v>0</v>
      </c>
      <c r="AE480" s="132"/>
      <c r="AF480" s="132"/>
      <c r="AG480" s="140">
        <v>0.26</v>
      </c>
      <c r="AH480" s="136">
        <f t="shared" si="100"/>
        <v>0</v>
      </c>
      <c r="AI480" s="141">
        <v>0</v>
      </c>
      <c r="AJ480" s="136">
        <f t="shared" si="109"/>
        <v>0</v>
      </c>
      <c r="AK480" s="141">
        <v>0</v>
      </c>
      <c r="AL480" s="136">
        <f t="shared" si="110"/>
        <v>0</v>
      </c>
      <c r="AM480" s="141">
        <f t="shared" si="113"/>
        <v>0</v>
      </c>
    </row>
    <row r="481" spans="1:40" hidden="1" x14ac:dyDescent="0.25">
      <c r="A481" s="123" t="s">
        <v>297</v>
      </c>
      <c r="B481" s="132" t="s">
        <v>3</v>
      </c>
      <c r="C481" s="132" t="s">
        <v>72</v>
      </c>
      <c r="D481" s="132" t="s">
        <v>187</v>
      </c>
      <c r="E481" s="132" t="s">
        <v>188</v>
      </c>
      <c r="F481" s="132" t="s">
        <v>188</v>
      </c>
      <c r="G481" s="132" t="s">
        <v>188</v>
      </c>
      <c r="H481" s="132" t="s">
        <v>298</v>
      </c>
      <c r="I481" s="79" t="s">
        <v>78</v>
      </c>
      <c r="J481" s="79" t="s">
        <v>78</v>
      </c>
      <c r="K481" s="79" t="s">
        <v>3</v>
      </c>
      <c r="L481" s="132" t="s">
        <v>188</v>
      </c>
      <c r="M481" s="132"/>
      <c r="N481" s="132" t="s">
        <v>126</v>
      </c>
      <c r="O481" s="132" t="s">
        <v>94</v>
      </c>
      <c r="P481" s="140">
        <v>0.05</v>
      </c>
      <c r="Q481" s="134"/>
      <c r="R481" s="132"/>
      <c r="S481" s="141">
        <v>15503.97</v>
      </c>
      <c r="T481" s="141"/>
      <c r="U481" s="141">
        <v>0</v>
      </c>
      <c r="V481" s="136">
        <f t="shared" si="97"/>
        <v>15503.97</v>
      </c>
      <c r="W481" s="141">
        <f t="shared" si="111"/>
        <v>0</v>
      </c>
      <c r="X481" s="132"/>
      <c r="Y481" s="50">
        <f t="shared" si="106"/>
        <v>0</v>
      </c>
      <c r="Z481" s="50">
        <f t="shared" si="107"/>
        <v>0</v>
      </c>
      <c r="AA481" s="137">
        <f t="shared" si="108"/>
        <v>0</v>
      </c>
      <c r="AB481" s="136">
        <f t="shared" si="112"/>
        <v>0</v>
      </c>
      <c r="AC481" s="138">
        <v>0.05</v>
      </c>
      <c r="AD481" s="136">
        <f t="shared" si="99"/>
        <v>0</v>
      </c>
      <c r="AE481" s="132"/>
      <c r="AF481" s="132"/>
      <c r="AG481" s="140">
        <v>0.36</v>
      </c>
      <c r="AH481" s="136">
        <f t="shared" si="100"/>
        <v>0</v>
      </c>
      <c r="AI481" s="141">
        <v>0</v>
      </c>
      <c r="AJ481" s="136">
        <f t="shared" si="109"/>
        <v>0</v>
      </c>
      <c r="AK481" s="141">
        <v>0</v>
      </c>
      <c r="AL481" s="136">
        <f t="shared" si="110"/>
        <v>0</v>
      </c>
      <c r="AM481" s="141">
        <f t="shared" si="113"/>
        <v>0</v>
      </c>
    </row>
    <row r="482" spans="1:40" hidden="1" x14ac:dyDescent="0.25">
      <c r="A482" s="123" t="s">
        <v>297</v>
      </c>
      <c r="B482" s="132" t="s">
        <v>3</v>
      </c>
      <c r="C482" s="132" t="s">
        <v>95</v>
      </c>
      <c r="D482" s="132" t="s">
        <v>96</v>
      </c>
      <c r="E482" s="132" t="s">
        <v>99</v>
      </c>
      <c r="F482" s="132" t="s">
        <v>99</v>
      </c>
      <c r="G482" s="132" t="s">
        <v>99</v>
      </c>
      <c r="H482" s="132" t="s">
        <v>298</v>
      </c>
      <c r="I482" s="79" t="s">
        <v>78</v>
      </c>
      <c r="J482" s="79" t="s">
        <v>78</v>
      </c>
      <c r="K482" s="79" t="s">
        <v>3</v>
      </c>
      <c r="L482" s="132" t="s">
        <v>98</v>
      </c>
      <c r="M482" s="132"/>
      <c r="N482" s="132" t="s">
        <v>86</v>
      </c>
      <c r="O482" s="132" t="s">
        <v>94</v>
      </c>
      <c r="P482" s="140">
        <v>0.03</v>
      </c>
      <c r="Q482" s="134"/>
      <c r="R482" s="132"/>
      <c r="S482" s="141">
        <v>5695.56</v>
      </c>
      <c r="T482" s="141"/>
      <c r="U482" s="141">
        <v>0</v>
      </c>
      <c r="V482" s="136">
        <f t="shared" si="97"/>
        <v>5695.56</v>
      </c>
      <c r="W482" s="141">
        <f t="shared" si="111"/>
        <v>0</v>
      </c>
      <c r="X482" s="132"/>
      <c r="Y482" s="50">
        <f t="shared" si="106"/>
        <v>0</v>
      </c>
      <c r="Z482" s="50">
        <f t="shared" si="107"/>
        <v>0</v>
      </c>
      <c r="AA482" s="137">
        <f t="shared" si="108"/>
        <v>0</v>
      </c>
      <c r="AB482" s="136">
        <f t="shared" si="112"/>
        <v>0</v>
      </c>
      <c r="AC482" s="138">
        <v>0.05</v>
      </c>
      <c r="AD482" s="136">
        <f t="shared" si="99"/>
        <v>0</v>
      </c>
      <c r="AE482" s="132"/>
      <c r="AF482" s="132"/>
      <c r="AG482" s="140">
        <v>0</v>
      </c>
      <c r="AH482" s="136">
        <f t="shared" si="100"/>
        <v>0</v>
      </c>
      <c r="AI482" s="141">
        <v>0</v>
      </c>
      <c r="AJ482" s="136">
        <f t="shared" si="109"/>
        <v>0</v>
      </c>
      <c r="AK482" s="141">
        <v>0</v>
      </c>
      <c r="AL482" s="136">
        <f t="shared" si="110"/>
        <v>0</v>
      </c>
      <c r="AM482" s="141">
        <f t="shared" si="113"/>
        <v>0</v>
      </c>
    </row>
    <row r="483" spans="1:40" hidden="1" x14ac:dyDescent="0.25">
      <c r="A483" s="123" t="s">
        <v>297</v>
      </c>
      <c r="B483" s="132" t="s">
        <v>3</v>
      </c>
      <c r="C483" s="132" t="s">
        <v>95</v>
      </c>
      <c r="D483" s="132" t="s">
        <v>96</v>
      </c>
      <c r="E483" s="132" t="s">
        <v>191</v>
      </c>
      <c r="F483" s="132" t="s">
        <v>191</v>
      </c>
      <c r="G483" s="132" t="s">
        <v>191</v>
      </c>
      <c r="H483" s="132" t="s">
        <v>298</v>
      </c>
      <c r="I483" s="79" t="s">
        <v>78</v>
      </c>
      <c r="J483" s="79" t="s">
        <v>78</v>
      </c>
      <c r="K483" s="79" t="s">
        <v>3</v>
      </c>
      <c r="L483" s="132" t="s">
        <v>192</v>
      </c>
      <c r="M483" s="132"/>
      <c r="N483" s="132" t="s">
        <v>86</v>
      </c>
      <c r="O483" s="132" t="s">
        <v>81</v>
      </c>
      <c r="P483" s="140">
        <v>0</v>
      </c>
      <c r="Q483" s="134"/>
      <c r="R483" s="132"/>
      <c r="S483" s="141">
        <v>6379.42</v>
      </c>
      <c r="T483" s="141"/>
      <c r="U483" s="141">
        <v>47907.66</v>
      </c>
      <c r="V483" s="136">
        <f t="shared" si="97"/>
        <v>-41528.240000000005</v>
      </c>
      <c r="W483" s="141">
        <f t="shared" si="111"/>
        <v>47907.66</v>
      </c>
      <c r="X483" s="132"/>
      <c r="Y483" s="50">
        <f t="shared" si="106"/>
        <v>0</v>
      </c>
      <c r="Z483" s="50">
        <f t="shared" si="107"/>
        <v>47907.738738738728</v>
      </c>
      <c r="AA483" s="137">
        <f t="shared" si="108"/>
        <v>0</v>
      </c>
      <c r="AB483" s="136">
        <f t="shared" si="112"/>
        <v>47907.66</v>
      </c>
      <c r="AC483" s="138">
        <v>0.05</v>
      </c>
      <c r="AD483" s="136">
        <f t="shared" si="99"/>
        <v>2395.3830000000003</v>
      </c>
      <c r="AE483" s="132"/>
      <c r="AF483" s="132"/>
      <c r="AG483" s="140">
        <v>0.11</v>
      </c>
      <c r="AH483" s="136">
        <f t="shared" si="100"/>
        <v>47907.738738738728</v>
      </c>
      <c r="AI483" s="141">
        <v>0</v>
      </c>
      <c r="AJ483" s="136">
        <f t="shared" si="109"/>
        <v>0</v>
      </c>
      <c r="AK483" s="141">
        <v>53177.59</v>
      </c>
      <c r="AL483" s="136">
        <f t="shared" si="110"/>
        <v>-5269.929999999993</v>
      </c>
      <c r="AM483" s="141">
        <f t="shared" si="113"/>
        <v>47907.738738738728</v>
      </c>
      <c r="AN483" s="99">
        <f>AM483-W483</f>
        <v>7.8738738724496216E-2</v>
      </c>
    </row>
    <row r="484" spans="1:40" hidden="1" x14ac:dyDescent="0.25">
      <c r="A484" s="123" t="s">
        <v>297</v>
      </c>
      <c r="B484" s="132" t="s">
        <v>3</v>
      </c>
      <c r="C484" s="132" t="s">
        <v>81</v>
      </c>
      <c r="D484" s="132" t="s">
        <v>81</v>
      </c>
      <c r="E484" s="132" t="s">
        <v>108</v>
      </c>
      <c r="F484" s="132" t="s">
        <v>108</v>
      </c>
      <c r="G484" s="132" t="s">
        <v>108</v>
      </c>
      <c r="H484" s="132" t="s">
        <v>298</v>
      </c>
      <c r="I484" s="79" t="s">
        <v>78</v>
      </c>
      <c r="J484" s="79" t="s">
        <v>78</v>
      </c>
      <c r="K484" s="79" t="s">
        <v>3</v>
      </c>
      <c r="L484" s="132" t="s">
        <v>108</v>
      </c>
      <c r="M484" s="132"/>
      <c r="N484" s="132" t="s">
        <v>86</v>
      </c>
      <c r="O484" s="132" t="s">
        <v>81</v>
      </c>
      <c r="P484" s="140">
        <v>0</v>
      </c>
      <c r="Q484" s="134"/>
      <c r="R484" s="132"/>
      <c r="S484" s="141">
        <v>16441.189999999999</v>
      </c>
      <c r="T484" s="141"/>
      <c r="U484" s="141">
        <v>173.76</v>
      </c>
      <c r="V484" s="136">
        <f t="shared" si="97"/>
        <v>16267.429999999998</v>
      </c>
      <c r="W484" s="141">
        <f t="shared" si="111"/>
        <v>173.76</v>
      </c>
      <c r="X484" s="132"/>
      <c r="Y484" s="50">
        <f t="shared" si="106"/>
        <v>0</v>
      </c>
      <c r="Z484" s="50">
        <f t="shared" si="107"/>
        <v>122.36619718309859</v>
      </c>
      <c r="AA484" s="137">
        <f t="shared" si="108"/>
        <v>0</v>
      </c>
      <c r="AB484" s="136">
        <f t="shared" si="112"/>
        <v>173.76</v>
      </c>
      <c r="AC484" s="138">
        <v>0.05</v>
      </c>
      <c r="AD484" s="136">
        <f t="shared" si="99"/>
        <v>8.6880000000000006</v>
      </c>
      <c r="AE484" s="132"/>
      <c r="AF484" s="132"/>
      <c r="AG484" s="140">
        <v>0.42</v>
      </c>
      <c r="AH484" s="136">
        <f t="shared" si="100"/>
        <v>122.36619718309859</v>
      </c>
      <c r="AI484" s="141">
        <v>0</v>
      </c>
      <c r="AJ484" s="136">
        <f t="shared" si="109"/>
        <v>0</v>
      </c>
      <c r="AK484" s="141">
        <v>173.76</v>
      </c>
      <c r="AL484" s="136">
        <f t="shared" si="110"/>
        <v>0</v>
      </c>
      <c r="AM484" s="141">
        <f t="shared" si="113"/>
        <v>122.36619718309859</v>
      </c>
      <c r="AN484" s="99">
        <f>AM484-W484</f>
        <v>-51.393802816901399</v>
      </c>
    </row>
    <row r="485" spans="1:40" hidden="1" x14ac:dyDescent="0.25">
      <c r="A485" s="123" t="s">
        <v>297</v>
      </c>
      <c r="B485" s="132" t="s">
        <v>3</v>
      </c>
      <c r="C485" s="132" t="s">
        <v>193</v>
      </c>
      <c r="D485" s="132" t="s">
        <v>194</v>
      </c>
      <c r="E485" s="132" t="s">
        <v>261</v>
      </c>
      <c r="F485" s="132" t="s">
        <v>262</v>
      </c>
      <c r="G485" s="132" t="s">
        <v>261</v>
      </c>
      <c r="H485" s="132" t="s">
        <v>298</v>
      </c>
      <c r="I485" s="79" t="s">
        <v>78</v>
      </c>
      <c r="J485" s="79" t="s">
        <v>78</v>
      </c>
      <c r="K485" s="79" t="s">
        <v>3</v>
      </c>
      <c r="L485" s="132" t="s">
        <v>263</v>
      </c>
      <c r="M485" s="132"/>
      <c r="N485" s="132" t="s">
        <v>86</v>
      </c>
      <c r="O485" s="132" t="s">
        <v>81</v>
      </c>
      <c r="P485" s="140">
        <v>0</v>
      </c>
      <c r="Q485" s="134"/>
      <c r="R485" s="132"/>
      <c r="S485" s="141">
        <v>-25.54</v>
      </c>
      <c r="T485" s="141"/>
      <c r="U485" s="141">
        <v>0</v>
      </c>
      <c r="V485" s="136">
        <f t="shared" si="97"/>
        <v>-25.54</v>
      </c>
      <c r="W485" s="141">
        <f t="shared" si="111"/>
        <v>0</v>
      </c>
      <c r="X485" s="132"/>
      <c r="Y485" s="50">
        <f t="shared" si="106"/>
        <v>0</v>
      </c>
      <c r="Z485" s="50">
        <f t="shared" si="107"/>
        <v>0</v>
      </c>
      <c r="AA485" s="137">
        <f t="shared" si="108"/>
        <v>0</v>
      </c>
      <c r="AB485" s="136">
        <f t="shared" si="112"/>
        <v>0</v>
      </c>
      <c r="AC485" s="138">
        <v>0.05</v>
      </c>
      <c r="AD485" s="136">
        <f t="shared" si="99"/>
        <v>0</v>
      </c>
      <c r="AE485" s="132"/>
      <c r="AF485" s="132"/>
      <c r="AG485" s="140">
        <v>0</v>
      </c>
      <c r="AH485" s="136">
        <f t="shared" si="100"/>
        <v>0</v>
      </c>
      <c r="AI485" s="141">
        <v>45.03</v>
      </c>
      <c r="AJ485" s="136">
        <f t="shared" si="109"/>
        <v>0</v>
      </c>
      <c r="AK485" s="141">
        <v>0</v>
      </c>
      <c r="AL485" s="136">
        <f t="shared" si="110"/>
        <v>45.03</v>
      </c>
      <c r="AM485" s="141">
        <f t="shared" si="113"/>
        <v>0</v>
      </c>
    </row>
    <row r="486" spans="1:40" hidden="1" x14ac:dyDescent="0.25">
      <c r="A486" s="123" t="s">
        <v>297</v>
      </c>
      <c r="B486" s="132" t="s">
        <v>71</v>
      </c>
      <c r="C486" s="132" t="s">
        <v>127</v>
      </c>
      <c r="D486" s="132" t="s">
        <v>153</v>
      </c>
      <c r="E486" s="132" t="s">
        <v>266</v>
      </c>
      <c r="F486" s="132" t="s">
        <v>267</v>
      </c>
      <c r="G486" s="132" t="s">
        <v>76</v>
      </c>
      <c r="H486" s="132" t="s">
        <v>298</v>
      </c>
      <c r="I486" s="79" t="s">
        <v>78</v>
      </c>
      <c r="J486" s="79" t="s">
        <v>78</v>
      </c>
      <c r="K486" s="79" t="s">
        <v>3</v>
      </c>
      <c r="L486" s="132" t="s">
        <v>125</v>
      </c>
      <c r="M486" s="132"/>
      <c r="N486" s="132" t="s">
        <v>126</v>
      </c>
      <c r="O486" s="132" t="s">
        <v>94</v>
      </c>
      <c r="P486" s="140">
        <v>0.13</v>
      </c>
      <c r="Q486" s="134"/>
      <c r="R486" s="132"/>
      <c r="S486" s="141">
        <v>20.729999999996402</v>
      </c>
      <c r="T486" s="141"/>
      <c r="U486" s="141">
        <v>0</v>
      </c>
      <c r="V486" s="136">
        <f t="shared" si="97"/>
        <v>20.729999999996402</v>
      </c>
      <c r="W486" s="141">
        <f t="shared" si="111"/>
        <v>0</v>
      </c>
      <c r="X486" s="132"/>
      <c r="Y486" s="50">
        <f t="shared" si="106"/>
        <v>0</v>
      </c>
      <c r="Z486" s="50">
        <f t="shared" si="107"/>
        <v>0</v>
      </c>
      <c r="AA486" s="137">
        <f t="shared" si="108"/>
        <v>0</v>
      </c>
      <c r="AB486" s="136">
        <f t="shared" si="112"/>
        <v>0</v>
      </c>
      <c r="AC486" s="138">
        <v>0.05</v>
      </c>
      <c r="AD486" s="136">
        <f t="shared" si="99"/>
        <v>0</v>
      </c>
      <c r="AE486" s="132"/>
      <c r="AF486" s="132"/>
      <c r="AG486" s="140">
        <v>0.42</v>
      </c>
      <c r="AH486" s="136">
        <f t="shared" si="100"/>
        <v>0</v>
      </c>
      <c r="AI486" s="141">
        <v>0</v>
      </c>
      <c r="AJ486" s="136">
        <f t="shared" si="109"/>
        <v>0</v>
      </c>
      <c r="AK486" s="141">
        <v>0</v>
      </c>
      <c r="AL486" s="136">
        <f t="shared" si="110"/>
        <v>0</v>
      </c>
      <c r="AM486" s="141">
        <f t="shared" si="113"/>
        <v>0</v>
      </c>
    </row>
    <row r="487" spans="1:40" hidden="1" x14ac:dyDescent="0.25">
      <c r="A487" s="123" t="s">
        <v>297</v>
      </c>
      <c r="B487" s="132" t="s">
        <v>71</v>
      </c>
      <c r="C487" s="132" t="s">
        <v>127</v>
      </c>
      <c r="D487" s="132" t="s">
        <v>128</v>
      </c>
      <c r="E487" s="132" t="s">
        <v>268</v>
      </c>
      <c r="F487" s="132" t="s">
        <v>269</v>
      </c>
      <c r="G487" s="132" t="s">
        <v>76</v>
      </c>
      <c r="H487" s="132" t="s">
        <v>298</v>
      </c>
      <c r="I487" s="79" t="s">
        <v>78</v>
      </c>
      <c r="J487" s="79" t="s">
        <v>78</v>
      </c>
      <c r="K487" s="79" t="s">
        <v>3</v>
      </c>
      <c r="L487" s="132" t="s">
        <v>125</v>
      </c>
      <c r="M487" s="132"/>
      <c r="N487" s="132" t="s">
        <v>126</v>
      </c>
      <c r="O487" s="132" t="s">
        <v>94</v>
      </c>
      <c r="P487" s="140">
        <v>0.03</v>
      </c>
      <c r="Q487" s="134"/>
      <c r="R487" s="132"/>
      <c r="S487" s="141">
        <v>22.61</v>
      </c>
      <c r="T487" s="141"/>
      <c r="U487" s="141">
        <v>0</v>
      </c>
      <c r="V487" s="136">
        <f t="shared" si="97"/>
        <v>22.61</v>
      </c>
      <c r="W487" s="141">
        <f t="shared" si="111"/>
        <v>0</v>
      </c>
      <c r="X487" s="132"/>
      <c r="Y487" s="50">
        <f t="shared" si="106"/>
        <v>0</v>
      </c>
      <c r="Z487" s="50">
        <f t="shared" si="107"/>
        <v>0</v>
      </c>
      <c r="AA487" s="137">
        <f t="shared" si="108"/>
        <v>0</v>
      </c>
      <c r="AB487" s="136">
        <f t="shared" si="112"/>
        <v>0</v>
      </c>
      <c r="AC487" s="138">
        <v>0.05</v>
      </c>
      <c r="AD487" s="136">
        <f t="shared" si="99"/>
        <v>0</v>
      </c>
      <c r="AE487" s="132"/>
      <c r="AF487" s="132"/>
      <c r="AG487" s="140">
        <v>0.42</v>
      </c>
      <c r="AH487" s="136">
        <f t="shared" si="100"/>
        <v>0</v>
      </c>
      <c r="AI487" s="141">
        <v>0</v>
      </c>
      <c r="AJ487" s="136">
        <f t="shared" si="109"/>
        <v>0</v>
      </c>
      <c r="AK487" s="141">
        <v>0</v>
      </c>
      <c r="AL487" s="136">
        <f t="shared" si="110"/>
        <v>0</v>
      </c>
      <c r="AM487" s="141">
        <f t="shared" si="113"/>
        <v>0</v>
      </c>
    </row>
    <row r="488" spans="1:40" hidden="1" x14ac:dyDescent="0.25">
      <c r="A488" s="123" t="s">
        <v>297</v>
      </c>
      <c r="B488" s="132" t="s">
        <v>71</v>
      </c>
      <c r="C488" s="132" t="s">
        <v>127</v>
      </c>
      <c r="D488" s="132" t="s">
        <v>128</v>
      </c>
      <c r="E488" s="132" t="s">
        <v>270</v>
      </c>
      <c r="F488" s="132" t="s">
        <v>271</v>
      </c>
      <c r="G488" s="132" t="s">
        <v>76</v>
      </c>
      <c r="H488" s="132" t="s">
        <v>298</v>
      </c>
      <c r="I488" s="79" t="s">
        <v>78</v>
      </c>
      <c r="J488" s="79" t="s">
        <v>78</v>
      </c>
      <c r="K488" s="79" t="s">
        <v>3</v>
      </c>
      <c r="L488" s="132" t="s">
        <v>125</v>
      </c>
      <c r="M488" s="132"/>
      <c r="N488" s="132" t="s">
        <v>126</v>
      </c>
      <c r="O488" s="132" t="s">
        <v>94</v>
      </c>
      <c r="P488" s="140">
        <v>0.13</v>
      </c>
      <c r="Q488" s="134"/>
      <c r="R488" s="132"/>
      <c r="S488" s="141">
        <v>29.53</v>
      </c>
      <c r="T488" s="141"/>
      <c r="U488" s="141">
        <v>0</v>
      </c>
      <c r="V488" s="136">
        <f t="shared" si="97"/>
        <v>29.53</v>
      </c>
      <c r="W488" s="141">
        <f t="shared" si="111"/>
        <v>0</v>
      </c>
      <c r="X488" s="132"/>
      <c r="Y488" s="50">
        <f t="shared" si="106"/>
        <v>0</v>
      </c>
      <c r="Z488" s="50">
        <f t="shared" si="107"/>
        <v>0</v>
      </c>
      <c r="AA488" s="137">
        <f t="shared" si="108"/>
        <v>0</v>
      </c>
      <c r="AB488" s="136">
        <f t="shared" si="112"/>
        <v>0</v>
      </c>
      <c r="AC488" s="138">
        <v>0.05</v>
      </c>
      <c r="AD488" s="136">
        <f t="shared" si="99"/>
        <v>0</v>
      </c>
      <c r="AE488" s="132"/>
      <c r="AF488" s="132"/>
      <c r="AG488" s="140">
        <v>0.42</v>
      </c>
      <c r="AH488" s="136">
        <f t="shared" si="100"/>
        <v>0</v>
      </c>
      <c r="AI488" s="141">
        <v>0</v>
      </c>
      <c r="AJ488" s="136">
        <f t="shared" si="109"/>
        <v>0</v>
      </c>
      <c r="AK488" s="141">
        <v>0</v>
      </c>
      <c r="AL488" s="136">
        <f t="shared" si="110"/>
        <v>0</v>
      </c>
      <c r="AM488" s="141">
        <f t="shared" si="113"/>
        <v>0</v>
      </c>
    </row>
    <row r="489" spans="1:40" hidden="1" x14ac:dyDescent="0.25">
      <c r="A489" s="123" t="s">
        <v>297</v>
      </c>
      <c r="B489" s="132" t="s">
        <v>71</v>
      </c>
      <c r="C489" s="132" t="s">
        <v>127</v>
      </c>
      <c r="D489" s="132" t="s">
        <v>128</v>
      </c>
      <c r="E489" s="132" t="s">
        <v>272</v>
      </c>
      <c r="F489" s="132" t="s">
        <v>273</v>
      </c>
      <c r="G489" s="132" t="s">
        <v>76</v>
      </c>
      <c r="H489" s="132" t="s">
        <v>298</v>
      </c>
      <c r="I489" s="79" t="s">
        <v>78</v>
      </c>
      <c r="J489" s="79" t="s">
        <v>78</v>
      </c>
      <c r="K489" s="79" t="s">
        <v>3</v>
      </c>
      <c r="L489" s="132" t="s">
        <v>125</v>
      </c>
      <c r="M489" s="132"/>
      <c r="N489" s="132" t="s">
        <v>126</v>
      </c>
      <c r="O489" s="132" t="s">
        <v>94</v>
      </c>
      <c r="P489" s="140">
        <v>0.21</v>
      </c>
      <c r="Q489" s="134"/>
      <c r="R489" s="132"/>
      <c r="S489" s="141">
        <v>1.90619718309881</v>
      </c>
      <c r="T489" s="141"/>
      <c r="U489" s="141">
        <v>0</v>
      </c>
      <c r="V489" s="136">
        <f t="shared" si="97"/>
        <v>1.90619718309881</v>
      </c>
      <c r="W489" s="141">
        <f t="shared" si="111"/>
        <v>0</v>
      </c>
      <c r="X489" s="132"/>
      <c r="Y489" s="50">
        <f t="shared" si="106"/>
        <v>0</v>
      </c>
      <c r="Z489" s="50">
        <f t="shared" si="107"/>
        <v>0</v>
      </c>
      <c r="AA489" s="137">
        <f t="shared" si="108"/>
        <v>0</v>
      </c>
      <c r="AB489" s="136">
        <f t="shared" si="112"/>
        <v>0</v>
      </c>
      <c r="AC489" s="138">
        <v>0.05</v>
      </c>
      <c r="AD489" s="136">
        <f t="shared" si="99"/>
        <v>0</v>
      </c>
      <c r="AE489" s="132"/>
      <c r="AF489" s="132"/>
      <c r="AG489" s="140">
        <v>0.42</v>
      </c>
      <c r="AH489" s="136">
        <f t="shared" si="100"/>
        <v>0</v>
      </c>
      <c r="AI489" s="141">
        <v>0</v>
      </c>
      <c r="AJ489" s="136">
        <f t="shared" si="109"/>
        <v>0</v>
      </c>
      <c r="AK489" s="141">
        <v>0</v>
      </c>
      <c r="AL489" s="136">
        <f t="shared" si="110"/>
        <v>0</v>
      </c>
      <c r="AM489" s="141">
        <f t="shared" si="113"/>
        <v>0</v>
      </c>
    </row>
    <row r="490" spans="1:40" hidden="1" x14ac:dyDescent="0.25">
      <c r="A490" s="123" t="s">
        <v>297</v>
      </c>
      <c r="B490" s="132" t="s">
        <v>71</v>
      </c>
      <c r="C490" s="132" t="s">
        <v>127</v>
      </c>
      <c r="D490" s="132" t="s">
        <v>128</v>
      </c>
      <c r="E490" s="132" t="s">
        <v>274</v>
      </c>
      <c r="F490" s="132" t="s">
        <v>275</v>
      </c>
      <c r="G490" s="132" t="s">
        <v>76</v>
      </c>
      <c r="H490" s="132" t="s">
        <v>298</v>
      </c>
      <c r="I490" s="79" t="s">
        <v>78</v>
      </c>
      <c r="J490" s="79" t="s">
        <v>78</v>
      </c>
      <c r="K490" s="79" t="s">
        <v>3</v>
      </c>
      <c r="L490" s="132" t="s">
        <v>125</v>
      </c>
      <c r="M490" s="132"/>
      <c r="N490" s="132" t="s">
        <v>126</v>
      </c>
      <c r="O490" s="132" t="s">
        <v>94</v>
      </c>
      <c r="P490" s="140">
        <v>0.03</v>
      </c>
      <c r="Q490" s="134"/>
      <c r="R490" s="132"/>
      <c r="S490" s="141">
        <v>62.533943663001999</v>
      </c>
      <c r="T490" s="141"/>
      <c r="U490" s="141">
        <v>0</v>
      </c>
      <c r="V490" s="136">
        <f t="shared" si="97"/>
        <v>62.533943663001999</v>
      </c>
      <c r="W490" s="141">
        <f t="shared" si="111"/>
        <v>0</v>
      </c>
      <c r="X490" s="132"/>
      <c r="Y490" s="50">
        <f t="shared" si="106"/>
        <v>0</v>
      </c>
      <c r="Z490" s="50">
        <f t="shared" si="107"/>
        <v>0</v>
      </c>
      <c r="AA490" s="137">
        <f t="shared" si="108"/>
        <v>0</v>
      </c>
      <c r="AB490" s="136">
        <f t="shared" si="112"/>
        <v>0</v>
      </c>
      <c r="AC490" s="138">
        <v>0.05</v>
      </c>
      <c r="AD490" s="136">
        <f t="shared" si="99"/>
        <v>0</v>
      </c>
      <c r="AE490" s="132"/>
      <c r="AF490" s="132"/>
      <c r="AG490" s="140">
        <v>0.42</v>
      </c>
      <c r="AH490" s="136">
        <f t="shared" si="100"/>
        <v>0</v>
      </c>
      <c r="AI490" s="141">
        <v>0</v>
      </c>
      <c r="AJ490" s="136">
        <f t="shared" si="109"/>
        <v>0</v>
      </c>
      <c r="AK490" s="141">
        <v>0</v>
      </c>
      <c r="AL490" s="136">
        <f t="shared" si="110"/>
        <v>0</v>
      </c>
      <c r="AM490" s="141">
        <f t="shared" si="113"/>
        <v>0</v>
      </c>
    </row>
    <row r="491" spans="1:40" hidden="1" x14ac:dyDescent="0.25">
      <c r="A491" s="123" t="s">
        <v>297</v>
      </c>
      <c r="B491" s="132" t="s">
        <v>71</v>
      </c>
      <c r="C491" s="132" t="s">
        <v>193</v>
      </c>
      <c r="D491" s="132" t="s">
        <v>194</v>
      </c>
      <c r="E491" s="132" t="s">
        <v>291</v>
      </c>
      <c r="F491" s="132" t="s">
        <v>292</v>
      </c>
      <c r="G491" s="132" t="s">
        <v>76</v>
      </c>
      <c r="H491" s="132" t="s">
        <v>298</v>
      </c>
      <c r="I491" s="79" t="s">
        <v>78</v>
      </c>
      <c r="J491" s="79" t="s">
        <v>78</v>
      </c>
      <c r="K491" s="79" t="s">
        <v>3</v>
      </c>
      <c r="L491" s="132" t="s">
        <v>291</v>
      </c>
      <c r="M491" s="132"/>
      <c r="N491" s="132" t="s">
        <v>80</v>
      </c>
      <c r="O491" s="132" t="s">
        <v>81</v>
      </c>
      <c r="P491" s="140">
        <v>0</v>
      </c>
      <c r="Q491" s="134"/>
      <c r="R491" s="132"/>
      <c r="S491" s="141">
        <v>21002.44</v>
      </c>
      <c r="T491" s="141"/>
      <c r="U491" s="141">
        <v>0</v>
      </c>
      <c r="V491" s="136">
        <f t="shared" si="97"/>
        <v>21002.44</v>
      </c>
      <c r="W491" s="141">
        <f t="shared" si="111"/>
        <v>0</v>
      </c>
      <c r="X491" s="132"/>
      <c r="Y491" s="50">
        <f t="shared" si="106"/>
        <v>0</v>
      </c>
      <c r="Z491" s="50">
        <f t="shared" si="107"/>
        <v>0</v>
      </c>
      <c r="AA491" s="137">
        <f t="shared" si="108"/>
        <v>0</v>
      </c>
      <c r="AB491" s="136">
        <f t="shared" si="112"/>
        <v>0</v>
      </c>
      <c r="AC491" s="138">
        <v>0.05</v>
      </c>
      <c r="AD491" s="136">
        <f t="shared" si="99"/>
        <v>0</v>
      </c>
      <c r="AE491" s="132"/>
      <c r="AF491" s="132"/>
      <c r="AG491" s="140">
        <v>0</v>
      </c>
      <c r="AH491" s="136">
        <f t="shared" si="100"/>
        <v>0</v>
      </c>
      <c r="AI491" s="141">
        <v>0</v>
      </c>
      <c r="AJ491" s="136">
        <f t="shared" si="109"/>
        <v>0</v>
      </c>
      <c r="AK491" s="141">
        <v>0</v>
      </c>
      <c r="AL491" s="136">
        <f t="shared" si="110"/>
        <v>0</v>
      </c>
      <c r="AM491" s="141">
        <f t="shared" si="113"/>
        <v>0</v>
      </c>
    </row>
    <row r="492" spans="1:40" hidden="1" x14ac:dyDescent="0.25">
      <c r="A492" s="123" t="s">
        <v>297</v>
      </c>
      <c r="B492" s="132" t="s">
        <v>3</v>
      </c>
      <c r="C492" s="132" t="s">
        <v>72</v>
      </c>
      <c r="D492" s="132" t="s">
        <v>187</v>
      </c>
      <c r="E492" s="132" t="s">
        <v>188</v>
      </c>
      <c r="F492" s="132" t="s">
        <v>188</v>
      </c>
      <c r="G492" s="132" t="s">
        <v>188</v>
      </c>
      <c r="H492" s="132" t="s">
        <v>298</v>
      </c>
      <c r="I492" s="79" t="s">
        <v>78</v>
      </c>
      <c r="J492" s="79" t="s">
        <v>78</v>
      </c>
      <c r="K492" s="79" t="s">
        <v>3</v>
      </c>
      <c r="L492" s="132" t="s">
        <v>188</v>
      </c>
      <c r="M492" s="132"/>
      <c r="N492" s="132" t="s">
        <v>86</v>
      </c>
      <c r="O492" s="132" t="s">
        <v>94</v>
      </c>
      <c r="P492" s="140">
        <v>0.05</v>
      </c>
      <c r="Q492" s="134"/>
      <c r="R492" s="132"/>
      <c r="S492" s="141">
        <v>-7.31</v>
      </c>
      <c r="T492" s="141"/>
      <c r="U492" s="141">
        <v>0</v>
      </c>
      <c r="V492" s="136">
        <f t="shared" si="97"/>
        <v>-7.31</v>
      </c>
      <c r="W492" s="141">
        <f t="shared" si="111"/>
        <v>0</v>
      </c>
      <c r="X492" s="132"/>
      <c r="Y492" s="50">
        <f t="shared" si="106"/>
        <v>0</v>
      </c>
      <c r="Z492" s="50">
        <f t="shared" si="107"/>
        <v>0</v>
      </c>
      <c r="AA492" s="137">
        <f t="shared" si="108"/>
        <v>0</v>
      </c>
      <c r="AB492" s="136">
        <f t="shared" si="112"/>
        <v>0</v>
      </c>
      <c r="AC492" s="138">
        <v>0.05</v>
      </c>
      <c r="AD492" s="136">
        <f t="shared" si="99"/>
        <v>0</v>
      </c>
      <c r="AE492" s="132"/>
      <c r="AF492" s="132"/>
      <c r="AG492" s="140">
        <v>0.36</v>
      </c>
      <c r="AH492" s="136">
        <f t="shared" si="100"/>
        <v>0</v>
      </c>
      <c r="AI492" s="141">
        <v>-8.24</v>
      </c>
      <c r="AJ492" s="136">
        <f t="shared" si="109"/>
        <v>0</v>
      </c>
      <c r="AK492" s="141">
        <v>0</v>
      </c>
      <c r="AL492" s="136">
        <f t="shared" si="110"/>
        <v>-8.24</v>
      </c>
      <c r="AM492" s="141">
        <f t="shared" si="113"/>
        <v>0</v>
      </c>
    </row>
    <row r="493" spans="1:40" hidden="1" x14ac:dyDescent="0.25">
      <c r="A493" s="123" t="s">
        <v>297</v>
      </c>
      <c r="B493" s="142" t="s">
        <v>3</v>
      </c>
      <c r="C493" s="132" t="s">
        <v>95</v>
      </c>
      <c r="D493" s="132" t="s">
        <v>96</v>
      </c>
      <c r="E493" s="143" t="s">
        <v>191</v>
      </c>
      <c r="F493" s="143" t="s">
        <v>191</v>
      </c>
      <c r="G493" s="143" t="s">
        <v>191</v>
      </c>
      <c r="H493" s="132" t="s">
        <v>298</v>
      </c>
      <c r="I493" s="79" t="s">
        <v>78</v>
      </c>
      <c r="J493" s="79" t="s">
        <v>78</v>
      </c>
      <c r="K493" s="79" t="s">
        <v>3</v>
      </c>
      <c r="L493" s="132" t="s">
        <v>192</v>
      </c>
      <c r="M493" s="132"/>
      <c r="N493" s="132" t="s">
        <v>126</v>
      </c>
      <c r="O493" s="132" t="s">
        <v>94</v>
      </c>
      <c r="P493" s="140">
        <v>0.03</v>
      </c>
      <c r="Q493" s="134"/>
      <c r="R493" s="132"/>
      <c r="S493" s="141">
        <v>0</v>
      </c>
      <c r="T493" s="141">
        <v>0</v>
      </c>
      <c r="U493" s="141">
        <v>2225.85</v>
      </c>
      <c r="V493" s="136">
        <f t="shared" si="97"/>
        <v>-2225.85</v>
      </c>
      <c r="W493" s="141">
        <f t="shared" si="111"/>
        <v>2161.019417475728</v>
      </c>
      <c r="X493" s="132"/>
      <c r="Y493" s="50">
        <f t="shared" si="106"/>
        <v>0</v>
      </c>
      <c r="Z493" s="50">
        <f t="shared" si="107"/>
        <v>2938.9611650485435</v>
      </c>
      <c r="AA493" s="137">
        <f t="shared" si="108"/>
        <v>64.830582524271904</v>
      </c>
      <c r="AB493" s="136">
        <f t="shared" si="112"/>
        <v>2225.85</v>
      </c>
      <c r="AC493" s="138">
        <v>0.05</v>
      </c>
      <c r="AD493" s="136">
        <f t="shared" si="99"/>
        <v>111.2925</v>
      </c>
      <c r="AE493" s="132"/>
      <c r="AF493" s="132"/>
      <c r="AG493" s="140">
        <v>0</v>
      </c>
      <c r="AH493" s="136">
        <f t="shared" si="100"/>
        <v>3027.13</v>
      </c>
      <c r="AI493" s="141">
        <v>0</v>
      </c>
      <c r="AJ493" s="136">
        <f t="shared" si="109"/>
        <v>0</v>
      </c>
      <c r="AK493" s="141">
        <v>3027.13</v>
      </c>
      <c r="AL493" s="136">
        <f t="shared" si="110"/>
        <v>-801.2800000000002</v>
      </c>
      <c r="AM493" s="141">
        <f t="shared" si="113"/>
        <v>2938.9611650485435</v>
      </c>
      <c r="AN493" s="99">
        <f>AM493-W493</f>
        <v>777.94174757281553</v>
      </c>
    </row>
    <row r="494" spans="1:40" hidden="1" x14ac:dyDescent="0.25">
      <c r="A494" s="123" t="s">
        <v>297</v>
      </c>
      <c r="B494" s="142" t="s">
        <v>3</v>
      </c>
      <c r="C494" s="142" t="s">
        <v>82</v>
      </c>
      <c r="D494" s="142" t="s">
        <v>83</v>
      </c>
      <c r="E494" s="142" t="s">
        <v>247</v>
      </c>
      <c r="F494" s="142" t="s">
        <v>247</v>
      </c>
      <c r="G494" s="142" t="s">
        <v>247</v>
      </c>
      <c r="H494" s="132" t="s">
        <v>298</v>
      </c>
      <c r="I494" s="79" t="s">
        <v>78</v>
      </c>
      <c r="J494" s="79" t="s">
        <v>78</v>
      </c>
      <c r="K494" s="79" t="s">
        <v>3</v>
      </c>
      <c r="L494" s="142" t="s">
        <v>247</v>
      </c>
      <c r="M494" s="142"/>
      <c r="N494" s="142" t="s">
        <v>212</v>
      </c>
      <c r="O494" s="142" t="s">
        <v>81</v>
      </c>
      <c r="P494" s="144">
        <v>0</v>
      </c>
      <c r="Q494" s="142"/>
      <c r="R494" s="142" t="s">
        <v>54</v>
      </c>
      <c r="S494" s="137">
        <v>0</v>
      </c>
      <c r="T494" s="137">
        <v>105892.32</v>
      </c>
      <c r="U494" s="137">
        <v>105892.32</v>
      </c>
      <c r="V494" s="137">
        <v>0</v>
      </c>
      <c r="W494" s="137">
        <v>637346.4</v>
      </c>
      <c r="X494" s="137"/>
      <c r="Y494" s="50">
        <f t="shared" si="106"/>
        <v>531454.08000000007</v>
      </c>
      <c r="Z494" s="50">
        <f t="shared" si="107"/>
        <v>637346.4</v>
      </c>
      <c r="AA494" s="137">
        <f t="shared" si="108"/>
        <v>-531454.08000000007</v>
      </c>
      <c r="AB494" s="137">
        <v>105892.32</v>
      </c>
      <c r="AC494" s="144">
        <v>0</v>
      </c>
      <c r="AD494" s="137">
        <f t="shared" si="99"/>
        <v>0</v>
      </c>
      <c r="AE494" s="142"/>
      <c r="AF494" s="142"/>
      <c r="AG494" s="144">
        <v>0</v>
      </c>
      <c r="AH494" s="142"/>
      <c r="AI494" s="137">
        <v>0</v>
      </c>
      <c r="AJ494" s="142"/>
      <c r="AK494" s="142"/>
      <c r="AL494" s="142"/>
      <c r="AM494" s="142"/>
    </row>
    <row r="495" spans="1:40" hidden="1" x14ac:dyDescent="0.25">
      <c r="A495" s="123" t="s">
        <v>297</v>
      </c>
      <c r="B495" s="142" t="s">
        <v>3</v>
      </c>
      <c r="C495" s="142" t="s">
        <v>82</v>
      </c>
      <c r="D495" s="142" t="s">
        <v>83</v>
      </c>
      <c r="E495" s="142" t="s">
        <v>88</v>
      </c>
      <c r="F495" s="142" t="s">
        <v>88</v>
      </c>
      <c r="G495" s="142" t="s">
        <v>88</v>
      </c>
      <c r="H495" s="132" t="s">
        <v>298</v>
      </c>
      <c r="I495" s="79" t="s">
        <v>78</v>
      </c>
      <c r="J495" s="79" t="s">
        <v>78</v>
      </c>
      <c r="K495" s="79" t="s">
        <v>3</v>
      </c>
      <c r="L495" s="142" t="s">
        <v>88</v>
      </c>
      <c r="M495" s="142"/>
      <c r="N495" s="142" t="s">
        <v>201</v>
      </c>
      <c r="O495" s="142" t="s">
        <v>81</v>
      </c>
      <c r="P495" s="144">
        <v>0</v>
      </c>
      <c r="Q495" s="142"/>
      <c r="R495" s="142"/>
      <c r="S495" s="137">
        <v>0</v>
      </c>
      <c r="T495" s="137">
        <v>3704750</v>
      </c>
      <c r="U495" s="137">
        <v>6410256.4100000001</v>
      </c>
      <c r="V495" s="137">
        <v>0</v>
      </c>
      <c r="W495" s="137">
        <v>6410256.4100000001</v>
      </c>
      <c r="X495" s="137">
        <v>384615.38433962298</v>
      </c>
      <c r="Y495" s="50">
        <f t="shared" si="106"/>
        <v>2705506.41</v>
      </c>
      <c r="Z495" s="50">
        <f t="shared" si="107"/>
        <v>6794871.7943396233</v>
      </c>
      <c r="AA495" s="137">
        <f t="shared" si="108"/>
        <v>0</v>
      </c>
      <c r="AB495" s="137">
        <v>3704750</v>
      </c>
      <c r="AC495" s="144">
        <v>0.05</v>
      </c>
      <c r="AD495" s="137">
        <f t="shared" si="99"/>
        <v>185237.5</v>
      </c>
      <c r="AE495" s="142"/>
      <c r="AF495" s="142"/>
      <c r="AG495" s="144">
        <v>0.35</v>
      </c>
      <c r="AH495" s="142"/>
      <c r="AI495" s="137">
        <v>0</v>
      </c>
      <c r="AJ495" s="142"/>
      <c r="AK495" s="142"/>
      <c r="AL495" s="142"/>
      <c r="AM495" s="142"/>
    </row>
    <row r="496" spans="1:40" hidden="1" x14ac:dyDescent="0.25">
      <c r="A496" s="123" t="s">
        <v>297</v>
      </c>
      <c r="B496" s="142" t="s">
        <v>3</v>
      </c>
      <c r="C496" s="142" t="s">
        <v>82</v>
      </c>
      <c r="D496" s="142" t="s">
        <v>83</v>
      </c>
      <c r="E496" s="142" t="s">
        <v>88</v>
      </c>
      <c r="F496" s="142" t="s">
        <v>88</v>
      </c>
      <c r="G496" s="142" t="s">
        <v>88</v>
      </c>
      <c r="H496" s="142" t="s">
        <v>299</v>
      </c>
      <c r="I496" s="79" t="s">
        <v>203</v>
      </c>
      <c r="J496" s="79" t="s">
        <v>244</v>
      </c>
      <c r="K496" s="79" t="s">
        <v>3</v>
      </c>
      <c r="L496" s="142" t="s">
        <v>88</v>
      </c>
      <c r="M496" s="142"/>
      <c r="N496" s="142" t="s">
        <v>86</v>
      </c>
      <c r="O496" s="142" t="s">
        <v>81</v>
      </c>
      <c r="P496" s="144">
        <v>0</v>
      </c>
      <c r="Q496" s="142"/>
      <c r="R496" s="142" t="s">
        <v>205</v>
      </c>
      <c r="S496" s="137">
        <v>0</v>
      </c>
      <c r="T496" s="137">
        <v>104062.64</v>
      </c>
      <c r="U496" s="137"/>
      <c r="V496" s="137">
        <v>0</v>
      </c>
      <c r="W496" s="137">
        <v>0</v>
      </c>
      <c r="X496" s="137"/>
      <c r="Y496" s="50">
        <f t="shared" si="106"/>
        <v>0</v>
      </c>
      <c r="Z496" s="50">
        <f t="shared" si="107"/>
        <v>0</v>
      </c>
      <c r="AA496" s="137">
        <f t="shared" si="108"/>
        <v>0</v>
      </c>
      <c r="AB496" s="137">
        <v>104062.64</v>
      </c>
      <c r="AC496" s="144">
        <v>0</v>
      </c>
      <c r="AD496" s="137">
        <f t="shared" si="99"/>
        <v>0</v>
      </c>
      <c r="AE496" s="142"/>
      <c r="AF496" s="142"/>
      <c r="AG496" s="144">
        <v>0</v>
      </c>
      <c r="AH496" s="142"/>
      <c r="AI496" s="137"/>
      <c r="AJ496" s="142"/>
      <c r="AK496" s="142"/>
      <c r="AL496" s="142"/>
      <c r="AM496" s="142"/>
    </row>
    <row r="497" spans="1:40" hidden="1" x14ac:dyDescent="0.25">
      <c r="A497" s="123" t="s">
        <v>297</v>
      </c>
      <c r="B497" s="142" t="s">
        <v>3</v>
      </c>
      <c r="C497" s="142" t="s">
        <v>95</v>
      </c>
      <c r="D497" s="142" t="s">
        <v>96</v>
      </c>
      <c r="E497" s="142" t="s">
        <v>192</v>
      </c>
      <c r="F497" s="132" t="s">
        <v>192</v>
      </c>
      <c r="G497" s="132" t="s">
        <v>192</v>
      </c>
      <c r="H497" s="132" t="s">
        <v>298</v>
      </c>
      <c r="I497" s="79" t="s">
        <v>78</v>
      </c>
      <c r="J497" s="79" t="s">
        <v>78</v>
      </c>
      <c r="K497" s="79" t="s">
        <v>3</v>
      </c>
      <c r="L497" s="142" t="s">
        <v>192</v>
      </c>
      <c r="M497" s="142"/>
      <c r="N497" s="142" t="s">
        <v>201</v>
      </c>
      <c r="O497" s="142" t="s">
        <v>81</v>
      </c>
      <c r="P497" s="144">
        <v>0</v>
      </c>
      <c r="Q497" s="142"/>
      <c r="R497" s="142"/>
      <c r="S497" s="145"/>
      <c r="T497" s="137">
        <v>95400</v>
      </c>
      <c r="U497" s="137">
        <v>95400</v>
      </c>
      <c r="V497" s="137">
        <v>0</v>
      </c>
      <c r="W497" s="137">
        <v>95400</v>
      </c>
      <c r="X497" s="142"/>
      <c r="Y497" s="50">
        <f t="shared" si="106"/>
        <v>0</v>
      </c>
      <c r="Z497" s="50">
        <f t="shared" si="107"/>
        <v>95400</v>
      </c>
      <c r="AA497" s="137">
        <f t="shared" si="108"/>
        <v>0</v>
      </c>
      <c r="AB497" s="137">
        <v>95400</v>
      </c>
      <c r="AC497" s="144">
        <v>0.05</v>
      </c>
      <c r="AD497" s="137">
        <f t="shared" si="99"/>
        <v>4770</v>
      </c>
      <c r="AE497" s="142"/>
      <c r="AF497" s="142"/>
      <c r="AG497" s="144">
        <v>0</v>
      </c>
      <c r="AH497" s="142"/>
      <c r="AI497" s="142"/>
      <c r="AJ497" s="142"/>
      <c r="AK497" s="142"/>
      <c r="AL497" s="142"/>
      <c r="AM497" s="142"/>
    </row>
    <row r="498" spans="1:40" hidden="1" x14ac:dyDescent="0.25">
      <c r="A498" s="123" t="s">
        <v>297</v>
      </c>
      <c r="B498" s="142" t="s">
        <v>71</v>
      </c>
      <c r="C498" s="142" t="s">
        <v>82</v>
      </c>
      <c r="D498" s="142" t="s">
        <v>208</v>
      </c>
      <c r="E498" s="142" t="s">
        <v>214</v>
      </c>
      <c r="F498" s="142" t="s">
        <v>264</v>
      </c>
      <c r="G498" s="132" t="s">
        <v>76</v>
      </c>
      <c r="H498" s="142" t="s">
        <v>210</v>
      </c>
      <c r="I498" s="79" t="s">
        <v>203</v>
      </c>
      <c r="J498" s="79" t="s">
        <v>284</v>
      </c>
      <c r="K498" s="79" t="s">
        <v>3</v>
      </c>
      <c r="L498" s="142" t="s">
        <v>214</v>
      </c>
      <c r="M498" s="142"/>
      <c r="N498" s="142" t="s">
        <v>212</v>
      </c>
      <c r="O498" s="142" t="s">
        <v>81</v>
      </c>
      <c r="P498" s="144">
        <v>0</v>
      </c>
      <c r="Q498" s="142"/>
      <c r="R498" s="142"/>
      <c r="S498" s="137"/>
      <c r="T498" s="137">
        <v>10050000</v>
      </c>
      <c r="U498" s="137">
        <v>9949500</v>
      </c>
      <c r="V498" s="137">
        <v>0</v>
      </c>
      <c r="W498" s="137">
        <f>U498</f>
        <v>9949500</v>
      </c>
      <c r="X498" s="137"/>
      <c r="Y498" s="50">
        <f t="shared" si="106"/>
        <v>0</v>
      </c>
      <c r="Z498" s="50">
        <f t="shared" si="107"/>
        <v>9949500</v>
      </c>
      <c r="AA498" s="137">
        <f t="shared" si="108"/>
        <v>0</v>
      </c>
      <c r="AB498" s="137">
        <v>10050000</v>
      </c>
      <c r="AC498" s="144">
        <v>0</v>
      </c>
      <c r="AD498" s="137">
        <f t="shared" si="99"/>
        <v>0</v>
      </c>
      <c r="AE498" s="142"/>
      <c r="AF498" s="142"/>
      <c r="AG498" s="144">
        <v>0</v>
      </c>
      <c r="AH498" s="142"/>
      <c r="AI498" s="137"/>
      <c r="AJ498" s="142"/>
      <c r="AK498" s="142"/>
      <c r="AL498" s="142"/>
      <c r="AM498" s="142"/>
    </row>
    <row r="499" spans="1:40" s="139" customFormat="1" hidden="1" x14ac:dyDescent="0.25">
      <c r="A499" s="131" t="s">
        <v>300</v>
      </c>
      <c r="B499" s="132" t="s">
        <v>71</v>
      </c>
      <c r="C499" s="132" t="s">
        <v>82</v>
      </c>
      <c r="D499" s="132" t="s">
        <v>83</v>
      </c>
      <c r="E499" s="132" t="s">
        <v>277</v>
      </c>
      <c r="F499" s="132" t="s">
        <v>278</v>
      </c>
      <c r="G499" s="132" t="s">
        <v>76</v>
      </c>
      <c r="H499" s="132" t="s">
        <v>298</v>
      </c>
      <c r="I499" s="82" t="s">
        <v>78</v>
      </c>
      <c r="J499" s="82" t="s">
        <v>78</v>
      </c>
      <c r="K499" s="82" t="s">
        <v>3</v>
      </c>
      <c r="L499" s="132" t="s">
        <v>279</v>
      </c>
      <c r="M499" s="132"/>
      <c r="N499" s="132" t="s">
        <v>86</v>
      </c>
      <c r="O499" s="132" t="s">
        <v>94</v>
      </c>
      <c r="P499" s="133">
        <v>3.8399999999999997E-2</v>
      </c>
      <c r="Q499" s="134"/>
      <c r="R499" s="132"/>
      <c r="S499" s="135">
        <v>1029988.39</v>
      </c>
      <c r="T499" s="135">
        <v>2575000</v>
      </c>
      <c r="U499" s="135">
        <v>1971740.93</v>
      </c>
      <c r="V499" s="136">
        <f t="shared" ref="V499:V558" si="114">S499+T499-U499</f>
        <v>1633247.4600000002</v>
      </c>
      <c r="W499" s="135">
        <f>IF(O499="返现",U499,IF(O499="折扣",U499*P499,U499*(1+AG499)/(1+P499+AG499)))</f>
        <v>1914311.5825242717</v>
      </c>
      <c r="X499" s="132"/>
      <c r="Y499" s="50">
        <f t="shared" si="106"/>
        <v>0</v>
      </c>
      <c r="Z499" s="50">
        <f t="shared" si="107"/>
        <v>1914311.5825242717</v>
      </c>
      <c r="AA499" s="137">
        <f t="shared" ref="AA499:AA530" si="115">IF(O499="返现",W499*P499,U499-W499)</f>
        <v>57429.347475728253</v>
      </c>
      <c r="AB499" s="136">
        <f>U499</f>
        <v>1971740.93</v>
      </c>
      <c r="AC499" s="138">
        <v>0.05</v>
      </c>
      <c r="AD499" s="136">
        <f t="shared" si="99"/>
        <v>98587.046499999997</v>
      </c>
      <c r="AE499" s="136"/>
      <c r="AF499" s="132"/>
      <c r="AG499" s="133">
        <v>0.28000000000000003</v>
      </c>
      <c r="AH499" s="135">
        <f t="shared" ref="AH499:AH558" si="116">AK499/(1+AG499)</f>
        <v>1971742.9296875</v>
      </c>
      <c r="AI499" s="135">
        <v>8403.0300000000298</v>
      </c>
      <c r="AJ499" s="135">
        <f t="shared" ref="AJ499:AJ530" si="117">T499*AG499</f>
        <v>721000.00000000012</v>
      </c>
      <c r="AK499" s="135">
        <v>2523830.9500000002</v>
      </c>
      <c r="AL499" s="135">
        <f t="shared" ref="AL499:AL530" si="118">AI499+AJ499-AK499+U499</f>
        <v>177313.01</v>
      </c>
      <c r="AM499" s="135">
        <f>IF(O499="返现",AK499/(1+AG499),IF(O499="折扣",AK499*P499,AK499/(1+P499+AG499)))</f>
        <v>1914313.5239684468</v>
      </c>
      <c r="AN499" s="146"/>
    </row>
    <row r="500" spans="1:40" hidden="1" x14ac:dyDescent="0.25">
      <c r="A500" s="123" t="s">
        <v>300</v>
      </c>
      <c r="B500" s="132" t="s">
        <v>71</v>
      </c>
      <c r="C500" s="132" t="s">
        <v>82</v>
      </c>
      <c r="D500" s="132" t="s">
        <v>83</v>
      </c>
      <c r="E500" s="132" t="s">
        <v>277</v>
      </c>
      <c r="F500" s="132" t="s">
        <v>278</v>
      </c>
      <c r="G500" s="132" t="s">
        <v>76</v>
      </c>
      <c r="H500" s="132" t="s">
        <v>298</v>
      </c>
      <c r="I500" s="79" t="s">
        <v>78</v>
      </c>
      <c r="J500" s="79" t="s">
        <v>78</v>
      </c>
      <c r="K500" s="79" t="s">
        <v>3</v>
      </c>
      <c r="L500" s="132" t="s">
        <v>279</v>
      </c>
      <c r="M500" s="132"/>
      <c r="N500" s="132" t="s">
        <v>126</v>
      </c>
      <c r="O500" s="132" t="s">
        <v>94</v>
      </c>
      <c r="P500" s="140">
        <v>4.1399999999999999E-2</v>
      </c>
      <c r="Q500" s="134"/>
      <c r="R500" s="132"/>
      <c r="S500" s="141">
        <v>290471.2</v>
      </c>
      <c r="T500" s="141">
        <v>1596500</v>
      </c>
      <c r="U500" s="141">
        <v>186181.51</v>
      </c>
      <c r="V500" s="136">
        <f t="shared" si="114"/>
        <v>1700789.69</v>
      </c>
      <c r="W500" s="141">
        <f>IF(O500="返现",U500,IF(O500="折扣",U500*P500,U500*(1+AG500)/(1+P500+AG500)))</f>
        <v>180758.74757281551</v>
      </c>
      <c r="X500" s="132"/>
      <c r="Y500" s="50">
        <f t="shared" si="106"/>
        <v>0</v>
      </c>
      <c r="Z500" s="50">
        <f t="shared" si="107"/>
        <v>180758.74757281551</v>
      </c>
      <c r="AA500" s="147">
        <f t="shared" si="115"/>
        <v>5422.7624271844979</v>
      </c>
      <c r="AB500" s="136">
        <f>U500</f>
        <v>186181.51</v>
      </c>
      <c r="AC500" s="138">
        <v>0.05</v>
      </c>
      <c r="AD500" s="136">
        <f t="shared" ref="AD500:AD560" si="119">AB500*AC500</f>
        <v>9309.0755000000008</v>
      </c>
      <c r="AE500" s="136"/>
      <c r="AF500" s="132"/>
      <c r="AG500" s="140">
        <v>0.38</v>
      </c>
      <c r="AH500" s="141">
        <f t="shared" si="116"/>
        <v>186209.65942028986</v>
      </c>
      <c r="AI500" s="141">
        <v>109502.4164</v>
      </c>
      <c r="AJ500" s="141">
        <f t="shared" si="117"/>
        <v>606670</v>
      </c>
      <c r="AK500" s="141">
        <v>256969.33</v>
      </c>
      <c r="AL500" s="141">
        <f t="shared" si="118"/>
        <v>645384.59640000004</v>
      </c>
      <c r="AM500" s="141">
        <f>IF(O500="返现",AK500/(1+AG500),IF(O500="折扣",AK500*P500,AK500/(1+P500+AG500)))</f>
        <v>180786.07710707749</v>
      </c>
      <c r="AN500" s="99"/>
    </row>
    <row r="501" spans="1:40" hidden="1" x14ac:dyDescent="0.25">
      <c r="A501" s="123" t="s">
        <v>300</v>
      </c>
      <c r="B501" s="132" t="s">
        <v>3</v>
      </c>
      <c r="C501" s="132" t="s">
        <v>82</v>
      </c>
      <c r="D501" s="132" t="s">
        <v>83</v>
      </c>
      <c r="E501" s="132" t="s">
        <v>247</v>
      </c>
      <c r="F501" s="132" t="s">
        <v>247</v>
      </c>
      <c r="G501" s="132" t="s">
        <v>247</v>
      </c>
      <c r="H501" s="132" t="s">
        <v>298</v>
      </c>
      <c r="I501" s="79" t="s">
        <v>78</v>
      </c>
      <c r="J501" s="79" t="s">
        <v>78</v>
      </c>
      <c r="K501" s="79" t="s">
        <v>3</v>
      </c>
      <c r="L501" s="132" t="s">
        <v>88</v>
      </c>
      <c r="M501" s="132"/>
      <c r="N501" s="132" t="s">
        <v>126</v>
      </c>
      <c r="O501" s="132" t="s">
        <v>81</v>
      </c>
      <c r="P501" s="140">
        <v>0</v>
      </c>
      <c r="Q501" s="134"/>
      <c r="R501" s="132" t="s">
        <v>301</v>
      </c>
      <c r="S501" s="141">
        <v>-11.350000000005799</v>
      </c>
      <c r="T501" s="141">
        <v>40000</v>
      </c>
      <c r="U501" s="141">
        <v>8939.64</v>
      </c>
      <c r="V501" s="136">
        <f t="shared" si="114"/>
        <v>31049.009999999995</v>
      </c>
      <c r="W501" s="141">
        <v>360000</v>
      </c>
      <c r="X501" s="132"/>
      <c r="Y501" s="50">
        <f t="shared" si="106"/>
        <v>351060.36</v>
      </c>
      <c r="Z501" s="50">
        <f t="shared" si="107"/>
        <v>360000</v>
      </c>
      <c r="AA501" s="147">
        <f t="shared" si="115"/>
        <v>-351060.36</v>
      </c>
      <c r="AB501" s="136">
        <f>U501</f>
        <v>8939.64</v>
      </c>
      <c r="AC501" s="138">
        <v>0.05</v>
      </c>
      <c r="AD501" s="136">
        <f t="shared" si="119"/>
        <v>446.98199999999997</v>
      </c>
      <c r="AE501" s="136"/>
      <c r="AF501" s="132"/>
      <c r="AG501" s="144">
        <v>0.24</v>
      </c>
      <c r="AH501" s="141">
        <f t="shared" si="116"/>
        <v>8938.7580645161288</v>
      </c>
      <c r="AI501" s="141">
        <v>84011.351200000005</v>
      </c>
      <c r="AJ501" s="141">
        <f t="shared" si="117"/>
        <v>9600</v>
      </c>
      <c r="AK501" s="141">
        <v>11084.06</v>
      </c>
      <c r="AL501" s="141">
        <f t="shared" si="118"/>
        <v>91466.931200000006</v>
      </c>
      <c r="AM501" s="141">
        <v>360000</v>
      </c>
      <c r="AN501" s="99">
        <f>AM501-W501</f>
        <v>0</v>
      </c>
    </row>
    <row r="502" spans="1:40" hidden="1" x14ac:dyDescent="0.25">
      <c r="A502" s="123" t="s">
        <v>300</v>
      </c>
      <c r="B502" s="132" t="s">
        <v>3</v>
      </c>
      <c r="C502" s="132" t="s">
        <v>82</v>
      </c>
      <c r="D502" s="132" t="s">
        <v>83</v>
      </c>
      <c r="E502" s="132" t="s">
        <v>302</v>
      </c>
      <c r="F502" s="132" t="s">
        <v>302</v>
      </c>
      <c r="G502" s="132" t="s">
        <v>302</v>
      </c>
      <c r="H502" s="132" t="s">
        <v>298</v>
      </c>
      <c r="I502" s="79" t="s">
        <v>78</v>
      </c>
      <c r="J502" s="79" t="s">
        <v>78</v>
      </c>
      <c r="K502" s="79" t="s">
        <v>3</v>
      </c>
      <c r="L502" s="132" t="s">
        <v>302</v>
      </c>
      <c r="M502" s="132"/>
      <c r="N502" s="132" t="s">
        <v>126</v>
      </c>
      <c r="O502" s="132" t="s">
        <v>94</v>
      </c>
      <c r="P502" s="140">
        <v>0.03</v>
      </c>
      <c r="Q502" s="134"/>
      <c r="R502" s="132"/>
      <c r="S502" s="141">
        <v>0</v>
      </c>
      <c r="T502" s="141">
        <v>1030</v>
      </c>
      <c r="U502" s="141">
        <v>0</v>
      </c>
      <c r="V502" s="136">
        <f t="shared" si="114"/>
        <v>1030</v>
      </c>
      <c r="W502" s="141">
        <f>IF(O502="返现",U502,IF(O502="折扣",U502*P502,U502*(1+AG502)/(1+P502+AG502)))</f>
        <v>0</v>
      </c>
      <c r="X502" s="132"/>
      <c r="Y502" s="50">
        <f t="shared" si="106"/>
        <v>0</v>
      </c>
      <c r="Z502" s="50">
        <f t="shared" si="107"/>
        <v>0</v>
      </c>
      <c r="AA502" s="147">
        <f t="shared" si="115"/>
        <v>0</v>
      </c>
      <c r="AB502" s="136">
        <f>U502</f>
        <v>0</v>
      </c>
      <c r="AC502" s="138">
        <v>0.05</v>
      </c>
      <c r="AD502" s="136">
        <f t="shared" si="119"/>
        <v>0</v>
      </c>
      <c r="AE502" s="136"/>
      <c r="AF502" s="132"/>
      <c r="AG502" s="144">
        <v>0</v>
      </c>
      <c r="AH502" s="141">
        <f t="shared" si="116"/>
        <v>0</v>
      </c>
      <c r="AI502" s="141">
        <v>0</v>
      </c>
      <c r="AJ502" s="141">
        <f t="shared" si="117"/>
        <v>0</v>
      </c>
      <c r="AK502" s="141">
        <v>0</v>
      </c>
      <c r="AL502" s="141">
        <f t="shared" si="118"/>
        <v>0</v>
      </c>
      <c r="AM502" s="141">
        <f>IF(O502="返现",AK502/(1+AG502),IF(O502="折扣",AK502*P502,AK502/(1+P502+AG502)))</f>
        <v>0</v>
      </c>
    </row>
    <row r="503" spans="1:40" hidden="1" x14ac:dyDescent="0.25">
      <c r="A503" s="123" t="s">
        <v>300</v>
      </c>
      <c r="B503" s="132" t="s">
        <v>3</v>
      </c>
      <c r="C503" s="132" t="s">
        <v>82</v>
      </c>
      <c r="D503" s="132" t="s">
        <v>83</v>
      </c>
      <c r="E503" s="132" t="s">
        <v>248</v>
      </c>
      <c r="F503" s="132" t="s">
        <v>248</v>
      </c>
      <c r="G503" s="132" t="s">
        <v>248</v>
      </c>
      <c r="H503" s="132" t="s">
        <v>298</v>
      </c>
      <c r="I503" s="79" t="s">
        <v>78</v>
      </c>
      <c r="J503" s="79" t="s">
        <v>78</v>
      </c>
      <c r="K503" s="79" t="s">
        <v>3</v>
      </c>
      <c r="L503" s="132" t="s">
        <v>88</v>
      </c>
      <c r="M503" s="132"/>
      <c r="N503" s="132" t="s">
        <v>86</v>
      </c>
      <c r="O503" s="132" t="s">
        <v>87</v>
      </c>
      <c r="P503" s="140">
        <v>0.02</v>
      </c>
      <c r="Q503" s="134"/>
      <c r="R503" s="132" t="s">
        <v>303</v>
      </c>
      <c r="S503" s="141">
        <v>0</v>
      </c>
      <c r="T503" s="141">
        <v>70000</v>
      </c>
      <c r="U503" s="141">
        <v>17747.72</v>
      </c>
      <c r="V503" s="136">
        <f t="shared" si="114"/>
        <v>52252.28</v>
      </c>
      <c r="W503" s="141">
        <v>430000</v>
      </c>
      <c r="X503" s="132"/>
      <c r="Y503" s="50">
        <f t="shared" si="106"/>
        <v>403652.28</v>
      </c>
      <c r="Z503" s="50">
        <f t="shared" si="107"/>
        <v>430000</v>
      </c>
      <c r="AA503" s="147">
        <f t="shared" si="115"/>
        <v>8600</v>
      </c>
      <c r="AB503" s="136">
        <f>U503</f>
        <v>17747.72</v>
      </c>
      <c r="AC503" s="138">
        <v>0.05</v>
      </c>
      <c r="AD503" s="136">
        <f t="shared" si="119"/>
        <v>887.38600000000008</v>
      </c>
      <c r="AE503" s="136"/>
      <c r="AF503" s="132"/>
      <c r="AG503" s="144">
        <v>0.3</v>
      </c>
      <c r="AH503" s="141">
        <f t="shared" si="116"/>
        <v>17749.292307692307</v>
      </c>
      <c r="AI503" s="141">
        <v>0</v>
      </c>
      <c r="AJ503" s="141">
        <f t="shared" si="117"/>
        <v>21000</v>
      </c>
      <c r="AK503" s="141">
        <v>23074.080000000002</v>
      </c>
      <c r="AL503" s="141">
        <f t="shared" si="118"/>
        <v>15673.64</v>
      </c>
      <c r="AM503" s="141">
        <v>430000</v>
      </c>
      <c r="AN503" s="99">
        <f>AM503-W503</f>
        <v>0</v>
      </c>
    </row>
    <row r="504" spans="1:40" hidden="1" x14ac:dyDescent="0.25">
      <c r="A504" s="123" t="s">
        <v>300</v>
      </c>
      <c r="B504" s="132" t="s">
        <v>3</v>
      </c>
      <c r="C504" s="132" t="s">
        <v>82</v>
      </c>
      <c r="D504" s="132" t="s">
        <v>83</v>
      </c>
      <c r="E504" s="132" t="s">
        <v>88</v>
      </c>
      <c r="F504" s="132" t="s">
        <v>88</v>
      </c>
      <c r="G504" s="132" t="s">
        <v>88</v>
      </c>
      <c r="H504" s="132" t="s">
        <v>298</v>
      </c>
      <c r="I504" s="79" t="s">
        <v>78</v>
      </c>
      <c r="J504" s="79" t="s">
        <v>78</v>
      </c>
      <c r="K504" s="79" t="s">
        <v>3</v>
      </c>
      <c r="L504" s="132" t="s">
        <v>88</v>
      </c>
      <c r="M504" s="132"/>
      <c r="N504" s="132" t="s">
        <v>86</v>
      </c>
      <c r="O504" s="132" t="s">
        <v>81</v>
      </c>
      <c r="P504" s="140">
        <v>0</v>
      </c>
      <c r="Q504" s="134"/>
      <c r="R504" s="132" t="s">
        <v>54</v>
      </c>
      <c r="S504" s="141">
        <v>952298.72</v>
      </c>
      <c r="T504" s="141">
        <v>932464.6</v>
      </c>
      <c r="U504" s="141">
        <v>932564.56</v>
      </c>
      <c r="V504" s="136">
        <f t="shared" si="114"/>
        <v>952198.75999999978</v>
      </c>
      <c r="W504" s="141">
        <v>1563830.41509434</v>
      </c>
      <c r="X504" s="141">
        <v>93829.824905660396</v>
      </c>
      <c r="Y504" s="50">
        <f t="shared" si="106"/>
        <v>631365.81509434001</v>
      </c>
      <c r="Z504" s="50">
        <f t="shared" si="107"/>
        <v>1657660.2400000005</v>
      </c>
      <c r="AA504" s="147">
        <f t="shared" si="115"/>
        <v>-631265.85509433993</v>
      </c>
      <c r="AB504" s="136">
        <v>932464.6</v>
      </c>
      <c r="AC504" s="138">
        <v>0.05</v>
      </c>
      <c r="AD504" s="136">
        <f t="shared" si="119"/>
        <v>46623.23</v>
      </c>
      <c r="AE504" s="136"/>
      <c r="AF504" s="132"/>
      <c r="AG504" s="144">
        <v>0.3</v>
      </c>
      <c r="AH504" s="141">
        <f t="shared" si="116"/>
        <v>933368.74615384615</v>
      </c>
      <c r="AI504" s="141">
        <v>1135070.7020000101</v>
      </c>
      <c r="AJ504" s="141">
        <f t="shared" si="117"/>
        <v>279739.38</v>
      </c>
      <c r="AK504" s="141">
        <v>1213379.3700000001</v>
      </c>
      <c r="AL504" s="141">
        <f t="shared" si="118"/>
        <v>1133995.2720000101</v>
      </c>
      <c r="AM504" s="141">
        <v>1563830.41509434</v>
      </c>
      <c r="AN504" s="99">
        <f>AM504-W504</f>
        <v>0</v>
      </c>
    </row>
    <row r="505" spans="1:40" hidden="1" x14ac:dyDescent="0.25">
      <c r="A505" s="123" t="s">
        <v>300</v>
      </c>
      <c r="B505" s="132" t="s">
        <v>71</v>
      </c>
      <c r="C505" s="132" t="s">
        <v>82</v>
      </c>
      <c r="D505" s="132" t="s">
        <v>83</v>
      </c>
      <c r="E505" s="132" t="s">
        <v>280</v>
      </c>
      <c r="F505" s="132" t="s">
        <v>281</v>
      </c>
      <c r="G505" s="132" t="s">
        <v>76</v>
      </c>
      <c r="H505" s="132" t="s">
        <v>298</v>
      </c>
      <c r="I505" s="79" t="s">
        <v>78</v>
      </c>
      <c r="J505" s="79" t="s">
        <v>78</v>
      </c>
      <c r="K505" s="79" t="s">
        <v>3</v>
      </c>
      <c r="L505" s="132" t="s">
        <v>282</v>
      </c>
      <c r="M505" s="132"/>
      <c r="N505" s="132" t="s">
        <v>126</v>
      </c>
      <c r="O505" s="132" t="s">
        <v>94</v>
      </c>
      <c r="P505" s="140">
        <v>4.1399999999999999E-2</v>
      </c>
      <c r="Q505" s="134"/>
      <c r="R505" s="132"/>
      <c r="S505" s="141">
        <v>15550.3</v>
      </c>
      <c r="T505" s="141"/>
      <c r="U505" s="141">
        <v>0</v>
      </c>
      <c r="V505" s="136">
        <f t="shared" si="114"/>
        <v>15550.3</v>
      </c>
      <c r="W505" s="141">
        <f t="shared" ref="W505:W536" si="120">IF(O505="返现",U505,IF(O505="折扣",U505*P505,U505*(1+AG505)/(1+P505+AG505)))</f>
        <v>0</v>
      </c>
      <c r="X505" s="132"/>
      <c r="Y505" s="50">
        <f t="shared" si="106"/>
        <v>0</v>
      </c>
      <c r="Z505" s="50">
        <f t="shared" si="107"/>
        <v>0</v>
      </c>
      <c r="AA505" s="147">
        <f t="shared" si="115"/>
        <v>0</v>
      </c>
      <c r="AB505" s="136">
        <f t="shared" ref="AB505:AB536" si="121">U505</f>
        <v>0</v>
      </c>
      <c r="AC505" s="138">
        <v>0.05</v>
      </c>
      <c r="AD505" s="136">
        <f t="shared" si="119"/>
        <v>0</v>
      </c>
      <c r="AE505" s="136"/>
      <c r="AF505" s="132"/>
      <c r="AG505" s="140">
        <v>0.38</v>
      </c>
      <c r="AH505" s="141">
        <f t="shared" si="116"/>
        <v>0</v>
      </c>
      <c r="AI505" s="141">
        <v>-223198.27420000001</v>
      </c>
      <c r="AJ505" s="141">
        <f t="shared" si="117"/>
        <v>0</v>
      </c>
      <c r="AK505" s="141">
        <v>0</v>
      </c>
      <c r="AL505" s="141">
        <f t="shared" si="118"/>
        <v>-223198.27420000001</v>
      </c>
      <c r="AM505" s="141">
        <f t="shared" ref="AM505:AM536" si="122">IF(O505="返现",AK505/(1+AG505),IF(O505="折扣",AK505*P505,AK505/(1+P505+AG505)))</f>
        <v>0</v>
      </c>
    </row>
    <row r="506" spans="1:40" hidden="1" x14ac:dyDescent="0.25">
      <c r="A506" s="123" t="s">
        <v>300</v>
      </c>
      <c r="B506" s="132" t="s">
        <v>3</v>
      </c>
      <c r="C506" s="132" t="s">
        <v>82</v>
      </c>
      <c r="D506" s="132" t="s">
        <v>83</v>
      </c>
      <c r="E506" s="132" t="s">
        <v>248</v>
      </c>
      <c r="F506" s="132" t="s">
        <v>248</v>
      </c>
      <c r="G506" s="132" t="s">
        <v>248</v>
      </c>
      <c r="H506" s="132" t="s">
        <v>298</v>
      </c>
      <c r="I506" s="79" t="s">
        <v>78</v>
      </c>
      <c r="J506" s="79" t="s">
        <v>78</v>
      </c>
      <c r="K506" s="79" t="s">
        <v>3</v>
      </c>
      <c r="L506" s="132" t="s">
        <v>88</v>
      </c>
      <c r="M506" s="132"/>
      <c r="N506" s="132" t="s">
        <v>86</v>
      </c>
      <c r="O506" s="132" t="s">
        <v>249</v>
      </c>
      <c r="P506" s="140">
        <v>0.98</v>
      </c>
      <c r="Q506" s="134"/>
      <c r="R506" s="132"/>
      <c r="S506" s="141">
        <v>23.700000000040699</v>
      </c>
      <c r="T506" s="141"/>
      <c r="U506" s="141">
        <v>0</v>
      </c>
      <c r="V506" s="136">
        <f t="shared" si="114"/>
        <v>23.700000000040699</v>
      </c>
      <c r="W506" s="141">
        <f t="shared" si="120"/>
        <v>0</v>
      </c>
      <c r="X506" s="132"/>
      <c r="Y506" s="50">
        <f t="shared" si="106"/>
        <v>0</v>
      </c>
      <c r="Z506" s="50">
        <f t="shared" si="107"/>
        <v>0</v>
      </c>
      <c r="AA506" s="147">
        <f t="shared" si="115"/>
        <v>0</v>
      </c>
      <c r="AB506" s="136">
        <f t="shared" si="121"/>
        <v>0</v>
      </c>
      <c r="AC506" s="138">
        <v>0.05</v>
      </c>
      <c r="AD506" s="136">
        <f t="shared" si="119"/>
        <v>0</v>
      </c>
      <c r="AE506" s="136"/>
      <c r="AF506" s="132"/>
      <c r="AG506" s="140">
        <v>0.3</v>
      </c>
      <c r="AH506" s="141">
        <f t="shared" si="116"/>
        <v>0</v>
      </c>
      <c r="AI506" s="141">
        <v>45944.69</v>
      </c>
      <c r="AJ506" s="141">
        <f t="shared" si="117"/>
        <v>0</v>
      </c>
      <c r="AK506" s="141">
        <v>0</v>
      </c>
      <c r="AL506" s="141">
        <f t="shared" si="118"/>
        <v>45944.69</v>
      </c>
      <c r="AM506" s="141">
        <f t="shared" si="122"/>
        <v>0</v>
      </c>
    </row>
    <row r="507" spans="1:40" hidden="1" x14ac:dyDescent="0.25">
      <c r="A507" s="123" t="s">
        <v>300</v>
      </c>
      <c r="B507" s="132" t="s">
        <v>71</v>
      </c>
      <c r="C507" s="132" t="s">
        <v>193</v>
      </c>
      <c r="D507" s="132" t="s">
        <v>194</v>
      </c>
      <c r="E507" s="132" t="s">
        <v>195</v>
      </c>
      <c r="F507" s="132" t="s">
        <v>196</v>
      </c>
      <c r="G507" s="132" t="s">
        <v>76</v>
      </c>
      <c r="H507" s="132" t="s">
        <v>298</v>
      </c>
      <c r="I507" s="79" t="s">
        <v>78</v>
      </c>
      <c r="J507" s="79" t="s">
        <v>78</v>
      </c>
      <c r="K507" s="79" t="s">
        <v>3</v>
      </c>
      <c r="L507" s="132" t="s">
        <v>197</v>
      </c>
      <c r="M507" s="132"/>
      <c r="N507" s="132" t="s">
        <v>80</v>
      </c>
      <c r="O507" s="132" t="s">
        <v>81</v>
      </c>
      <c r="P507" s="140">
        <v>0</v>
      </c>
      <c r="Q507" s="134"/>
      <c r="R507" s="132"/>
      <c r="S507" s="141">
        <v>2956.69</v>
      </c>
      <c r="T507" s="141"/>
      <c r="U507" s="141">
        <v>0</v>
      </c>
      <c r="V507" s="136">
        <f t="shared" si="114"/>
        <v>2956.69</v>
      </c>
      <c r="W507" s="141">
        <f t="shared" si="120"/>
        <v>0</v>
      </c>
      <c r="X507" s="132"/>
      <c r="Y507" s="50">
        <f t="shared" si="106"/>
        <v>0</v>
      </c>
      <c r="Z507" s="50">
        <f t="shared" si="107"/>
        <v>0</v>
      </c>
      <c r="AA507" s="147">
        <f t="shared" si="115"/>
        <v>0</v>
      </c>
      <c r="AB507" s="136">
        <f t="shared" si="121"/>
        <v>0</v>
      </c>
      <c r="AC507" s="138">
        <v>0.05</v>
      </c>
      <c r="AD507" s="136">
        <f t="shared" si="119"/>
        <v>0</v>
      </c>
      <c r="AE507" s="136"/>
      <c r="AF507" s="132"/>
      <c r="AG507" s="140">
        <v>0.42</v>
      </c>
      <c r="AH507" s="141">
        <f t="shared" si="116"/>
        <v>0</v>
      </c>
      <c r="AI507" s="141">
        <v>0</v>
      </c>
      <c r="AJ507" s="141">
        <f t="shared" si="117"/>
        <v>0</v>
      </c>
      <c r="AK507" s="141">
        <v>0</v>
      </c>
      <c r="AL507" s="141">
        <f t="shared" si="118"/>
        <v>0</v>
      </c>
      <c r="AM507" s="141">
        <f t="shared" si="122"/>
        <v>0</v>
      </c>
    </row>
    <row r="508" spans="1:40" hidden="1" x14ac:dyDescent="0.25">
      <c r="A508" s="123" t="s">
        <v>300</v>
      </c>
      <c r="B508" s="132" t="s">
        <v>71</v>
      </c>
      <c r="C508" s="132" t="s">
        <v>100</v>
      </c>
      <c r="D508" s="132" t="s">
        <v>101</v>
      </c>
      <c r="E508" s="132" t="s">
        <v>112</v>
      </c>
      <c r="F508" s="132" t="s">
        <v>113</v>
      </c>
      <c r="G508" s="132" t="s">
        <v>76</v>
      </c>
      <c r="H508" s="132" t="s">
        <v>298</v>
      </c>
      <c r="I508" s="79" t="s">
        <v>78</v>
      </c>
      <c r="J508" s="79" t="s">
        <v>78</v>
      </c>
      <c r="K508" s="79" t="s">
        <v>3</v>
      </c>
      <c r="L508" s="132" t="s">
        <v>112</v>
      </c>
      <c r="M508" s="132"/>
      <c r="N508" s="132" t="s">
        <v>86</v>
      </c>
      <c r="O508" s="132" t="s">
        <v>81</v>
      </c>
      <c r="P508" s="140">
        <v>0</v>
      </c>
      <c r="Q508" s="134"/>
      <c r="R508" s="132"/>
      <c r="S508" s="141">
        <v>68893.400000000009</v>
      </c>
      <c r="T508" s="141"/>
      <c r="U508" s="141">
        <v>0.15</v>
      </c>
      <c r="V508" s="136">
        <f t="shared" si="114"/>
        <v>68893.250000000015</v>
      </c>
      <c r="W508" s="141">
        <f t="shared" si="120"/>
        <v>0.15</v>
      </c>
      <c r="X508" s="132"/>
      <c r="Y508" s="50">
        <f t="shared" si="106"/>
        <v>0</v>
      </c>
      <c r="Z508" s="50">
        <f t="shared" si="107"/>
        <v>0.15</v>
      </c>
      <c r="AA508" s="147">
        <f t="shared" si="115"/>
        <v>0</v>
      </c>
      <c r="AB508" s="136">
        <f t="shared" si="121"/>
        <v>0.15</v>
      </c>
      <c r="AC508" s="138">
        <v>0.05</v>
      </c>
      <c r="AD508" s="136">
        <f t="shared" si="119"/>
        <v>7.4999999999999997E-3</v>
      </c>
      <c r="AE508" s="136"/>
      <c r="AF508" s="132"/>
      <c r="AG508" s="140">
        <v>0</v>
      </c>
      <c r="AH508" s="141">
        <f t="shared" si="116"/>
        <v>0.15</v>
      </c>
      <c r="AI508" s="141">
        <v>0</v>
      </c>
      <c r="AJ508" s="141">
        <f t="shared" si="117"/>
        <v>0</v>
      </c>
      <c r="AK508" s="141">
        <v>0.15</v>
      </c>
      <c r="AL508" s="141">
        <f t="shared" si="118"/>
        <v>0</v>
      </c>
      <c r="AM508" s="141">
        <f t="shared" si="122"/>
        <v>0.15</v>
      </c>
      <c r="AN508" s="99"/>
    </row>
    <row r="509" spans="1:40" hidden="1" x14ac:dyDescent="0.25">
      <c r="A509" s="123" t="s">
        <v>300</v>
      </c>
      <c r="B509" s="132" t="s">
        <v>71</v>
      </c>
      <c r="C509" s="132" t="s">
        <v>90</v>
      </c>
      <c r="D509" s="132" t="s">
        <v>105</v>
      </c>
      <c r="E509" s="132" t="s">
        <v>106</v>
      </c>
      <c r="F509" s="132" t="s">
        <v>107</v>
      </c>
      <c r="G509" s="132" t="s">
        <v>76</v>
      </c>
      <c r="H509" s="132" t="s">
        <v>298</v>
      </c>
      <c r="I509" s="79" t="s">
        <v>78</v>
      </c>
      <c r="J509" s="79" t="s">
        <v>78</v>
      </c>
      <c r="K509" s="79" t="s">
        <v>3</v>
      </c>
      <c r="L509" s="132" t="s">
        <v>106</v>
      </c>
      <c r="M509" s="132"/>
      <c r="N509" s="132" t="s">
        <v>80</v>
      </c>
      <c r="O509" s="132" t="s">
        <v>81</v>
      </c>
      <c r="P509" s="140">
        <v>0</v>
      </c>
      <c r="Q509" s="134"/>
      <c r="R509" s="132"/>
      <c r="S509" s="141">
        <v>7741.65</v>
      </c>
      <c r="T509" s="141"/>
      <c r="U509" s="141">
        <v>0</v>
      </c>
      <c r="V509" s="136">
        <f t="shared" si="114"/>
        <v>7741.65</v>
      </c>
      <c r="W509" s="141">
        <f t="shared" si="120"/>
        <v>0</v>
      </c>
      <c r="X509" s="132"/>
      <c r="Y509" s="50">
        <f t="shared" si="106"/>
        <v>0</v>
      </c>
      <c r="Z509" s="50">
        <f t="shared" si="107"/>
        <v>0</v>
      </c>
      <c r="AA509" s="147">
        <f t="shared" si="115"/>
        <v>0</v>
      </c>
      <c r="AB509" s="136">
        <f t="shared" si="121"/>
        <v>0</v>
      </c>
      <c r="AC509" s="138">
        <v>0.05</v>
      </c>
      <c r="AD509" s="136">
        <f t="shared" si="119"/>
        <v>0</v>
      </c>
      <c r="AE509" s="136"/>
      <c r="AF509" s="132"/>
      <c r="AG509" s="140">
        <v>0.42</v>
      </c>
      <c r="AH509" s="141">
        <f t="shared" si="116"/>
        <v>0</v>
      </c>
      <c r="AI509" s="141">
        <v>0</v>
      </c>
      <c r="AJ509" s="141">
        <f t="shared" si="117"/>
        <v>0</v>
      </c>
      <c r="AK509" s="141">
        <v>0</v>
      </c>
      <c r="AL509" s="141">
        <f t="shared" si="118"/>
        <v>0</v>
      </c>
      <c r="AM509" s="141">
        <f t="shared" si="122"/>
        <v>0</v>
      </c>
    </row>
    <row r="510" spans="1:40" hidden="1" x14ac:dyDescent="0.25">
      <c r="A510" s="123" t="s">
        <v>300</v>
      </c>
      <c r="B510" s="132" t="s">
        <v>71</v>
      </c>
      <c r="C510" s="132" t="s">
        <v>90</v>
      </c>
      <c r="D510" s="132" t="s">
        <v>91</v>
      </c>
      <c r="E510" s="132" t="s">
        <v>92</v>
      </c>
      <c r="F510" s="132" t="s">
        <v>93</v>
      </c>
      <c r="G510" s="132" t="s">
        <v>76</v>
      </c>
      <c r="H510" s="132" t="s">
        <v>298</v>
      </c>
      <c r="I510" s="79" t="s">
        <v>78</v>
      </c>
      <c r="J510" s="79" t="s">
        <v>78</v>
      </c>
      <c r="K510" s="79" t="s">
        <v>3</v>
      </c>
      <c r="L510" s="132" t="s">
        <v>92</v>
      </c>
      <c r="M510" s="132"/>
      <c r="N510" s="132" t="s">
        <v>86</v>
      </c>
      <c r="O510" s="132" t="s">
        <v>81</v>
      </c>
      <c r="P510" s="140">
        <v>0</v>
      </c>
      <c r="Q510" s="134"/>
      <c r="R510" s="132"/>
      <c r="S510" s="141">
        <v>7.0399999999990497</v>
      </c>
      <c r="T510" s="141"/>
      <c r="U510" s="141">
        <v>0</v>
      </c>
      <c r="V510" s="136">
        <f t="shared" si="114"/>
        <v>7.0399999999990497</v>
      </c>
      <c r="W510" s="141">
        <f t="shared" si="120"/>
        <v>0</v>
      </c>
      <c r="X510" s="132"/>
      <c r="Y510" s="50">
        <f t="shared" si="106"/>
        <v>0</v>
      </c>
      <c r="Z510" s="50">
        <f t="shared" si="107"/>
        <v>0</v>
      </c>
      <c r="AA510" s="147">
        <f t="shared" si="115"/>
        <v>0</v>
      </c>
      <c r="AB510" s="136">
        <f t="shared" si="121"/>
        <v>0</v>
      </c>
      <c r="AC510" s="138">
        <v>0.05</v>
      </c>
      <c r="AD510" s="136">
        <f t="shared" si="119"/>
        <v>0</v>
      </c>
      <c r="AE510" s="136"/>
      <c r="AF510" s="132"/>
      <c r="AG510" s="140">
        <v>0</v>
      </c>
      <c r="AH510" s="141">
        <f t="shared" si="116"/>
        <v>0</v>
      </c>
      <c r="AI510" s="141">
        <v>0</v>
      </c>
      <c r="AJ510" s="141">
        <f t="shared" si="117"/>
        <v>0</v>
      </c>
      <c r="AK510" s="141">
        <v>0</v>
      </c>
      <c r="AL510" s="141">
        <f t="shared" si="118"/>
        <v>0</v>
      </c>
      <c r="AM510" s="141">
        <f t="shared" si="122"/>
        <v>0</v>
      </c>
    </row>
    <row r="511" spans="1:40" hidden="1" x14ac:dyDescent="0.25">
      <c r="A511" s="123" t="s">
        <v>300</v>
      </c>
      <c r="B511" s="132" t="s">
        <v>71</v>
      </c>
      <c r="C511" s="132" t="s">
        <v>90</v>
      </c>
      <c r="D511" s="132" t="s">
        <v>91</v>
      </c>
      <c r="E511" s="132" t="s">
        <v>103</v>
      </c>
      <c r="F511" s="132" t="s">
        <v>104</v>
      </c>
      <c r="G511" s="132" t="s">
        <v>76</v>
      </c>
      <c r="H511" s="132" t="s">
        <v>298</v>
      </c>
      <c r="I511" s="79" t="s">
        <v>78</v>
      </c>
      <c r="J511" s="79" t="s">
        <v>78</v>
      </c>
      <c r="K511" s="79" t="s">
        <v>3</v>
      </c>
      <c r="L511" s="132" t="s">
        <v>103</v>
      </c>
      <c r="M511" s="132"/>
      <c r="N511" s="132" t="s">
        <v>86</v>
      </c>
      <c r="O511" s="132" t="s">
        <v>94</v>
      </c>
      <c r="P511" s="140">
        <v>0.02</v>
      </c>
      <c r="Q511" s="134"/>
      <c r="R511" s="132"/>
      <c r="S511" s="141">
        <v>106099.63</v>
      </c>
      <c r="T511" s="141"/>
      <c r="U511" s="141">
        <v>0</v>
      </c>
      <c r="V511" s="136">
        <f t="shared" si="114"/>
        <v>106099.63</v>
      </c>
      <c r="W511" s="141">
        <f t="shared" si="120"/>
        <v>0</v>
      </c>
      <c r="X511" s="132"/>
      <c r="Y511" s="50">
        <f t="shared" si="106"/>
        <v>0</v>
      </c>
      <c r="Z511" s="50">
        <f t="shared" si="107"/>
        <v>0</v>
      </c>
      <c r="AA511" s="147">
        <f t="shared" si="115"/>
        <v>0</v>
      </c>
      <c r="AB511" s="136">
        <f t="shared" si="121"/>
        <v>0</v>
      </c>
      <c r="AC511" s="138">
        <v>0.05</v>
      </c>
      <c r="AD511" s="136">
        <f t="shared" si="119"/>
        <v>0</v>
      </c>
      <c r="AE511" s="136"/>
      <c r="AF511" s="132"/>
      <c r="AG511" s="140">
        <v>0.42</v>
      </c>
      <c r="AH511" s="141">
        <f t="shared" si="116"/>
        <v>0</v>
      </c>
      <c r="AI511" s="141">
        <v>0</v>
      </c>
      <c r="AJ511" s="141">
        <f t="shared" si="117"/>
        <v>0</v>
      </c>
      <c r="AK511" s="141">
        <v>0</v>
      </c>
      <c r="AL511" s="141">
        <f t="shared" si="118"/>
        <v>0</v>
      </c>
      <c r="AM511" s="141">
        <f t="shared" si="122"/>
        <v>0</v>
      </c>
    </row>
    <row r="512" spans="1:40" hidden="1" x14ac:dyDescent="0.25">
      <c r="A512" s="123" t="s">
        <v>300</v>
      </c>
      <c r="B512" s="132" t="s">
        <v>71</v>
      </c>
      <c r="C512" s="132" t="s">
        <v>72</v>
      </c>
      <c r="D512" s="132" t="s">
        <v>122</v>
      </c>
      <c r="E512" s="132" t="s">
        <v>123</v>
      </c>
      <c r="F512" s="132" t="s">
        <v>124</v>
      </c>
      <c r="G512" s="132" t="s">
        <v>76</v>
      </c>
      <c r="H512" s="132" t="s">
        <v>298</v>
      </c>
      <c r="I512" s="79" t="s">
        <v>78</v>
      </c>
      <c r="J512" s="79" t="s">
        <v>78</v>
      </c>
      <c r="K512" s="79" t="s">
        <v>3</v>
      </c>
      <c r="L512" s="132" t="s">
        <v>125</v>
      </c>
      <c r="M512" s="132"/>
      <c r="N512" s="132" t="s">
        <v>126</v>
      </c>
      <c r="O512" s="132" t="s">
        <v>94</v>
      </c>
      <c r="P512" s="140">
        <v>0.18</v>
      </c>
      <c r="Q512" s="134"/>
      <c r="R512" s="132"/>
      <c r="S512" s="141">
        <v>56718.13</v>
      </c>
      <c r="T512" s="141"/>
      <c r="U512" s="141">
        <v>0</v>
      </c>
      <c r="V512" s="136">
        <f t="shared" si="114"/>
        <v>56718.13</v>
      </c>
      <c r="W512" s="141">
        <f t="shared" si="120"/>
        <v>0</v>
      </c>
      <c r="X512" s="132"/>
      <c r="Y512" s="50">
        <f t="shared" si="106"/>
        <v>0</v>
      </c>
      <c r="Z512" s="50">
        <f t="shared" si="107"/>
        <v>0</v>
      </c>
      <c r="AA512" s="147">
        <f t="shared" si="115"/>
        <v>0</v>
      </c>
      <c r="AB512" s="136">
        <f t="shared" si="121"/>
        <v>0</v>
      </c>
      <c r="AC512" s="138">
        <v>0.05</v>
      </c>
      <c r="AD512" s="136">
        <f t="shared" si="119"/>
        <v>0</v>
      </c>
      <c r="AE512" s="136"/>
      <c r="AF512" s="132"/>
      <c r="AG512" s="140">
        <v>0.42</v>
      </c>
      <c r="AH512" s="141">
        <f t="shared" si="116"/>
        <v>0</v>
      </c>
      <c r="AI512" s="141">
        <v>-31596.52</v>
      </c>
      <c r="AJ512" s="141">
        <f t="shared" si="117"/>
        <v>0</v>
      </c>
      <c r="AK512" s="141">
        <v>0</v>
      </c>
      <c r="AL512" s="141">
        <f t="shared" si="118"/>
        <v>-31596.52</v>
      </c>
      <c r="AM512" s="141">
        <f t="shared" si="122"/>
        <v>0</v>
      </c>
    </row>
    <row r="513" spans="1:39" hidden="1" x14ac:dyDescent="0.25">
      <c r="A513" s="123" t="s">
        <v>300</v>
      </c>
      <c r="B513" s="132" t="s">
        <v>71</v>
      </c>
      <c r="C513" s="132" t="s">
        <v>72</v>
      </c>
      <c r="D513" s="132" t="s">
        <v>73</v>
      </c>
      <c r="E513" s="132" t="s">
        <v>74</v>
      </c>
      <c r="F513" s="132" t="s">
        <v>75</v>
      </c>
      <c r="G513" s="132" t="s">
        <v>76</v>
      </c>
      <c r="H513" s="132" t="s">
        <v>298</v>
      </c>
      <c r="I513" s="79" t="s">
        <v>78</v>
      </c>
      <c r="J513" s="79" t="s">
        <v>78</v>
      </c>
      <c r="K513" s="79" t="s">
        <v>3</v>
      </c>
      <c r="L513" s="132" t="s">
        <v>74</v>
      </c>
      <c r="M513" s="132"/>
      <c r="N513" s="132" t="s">
        <v>86</v>
      </c>
      <c r="O513" s="132" t="s">
        <v>94</v>
      </c>
      <c r="P513" s="140">
        <v>0.03</v>
      </c>
      <c r="Q513" s="134"/>
      <c r="R513" s="132"/>
      <c r="S513" s="141">
        <v>15888.8300000003</v>
      </c>
      <c r="T513" s="141"/>
      <c r="U513" s="141">
        <v>0</v>
      </c>
      <c r="V513" s="136">
        <f t="shared" si="114"/>
        <v>15888.8300000003</v>
      </c>
      <c r="W513" s="141">
        <f t="shared" si="120"/>
        <v>0</v>
      </c>
      <c r="X513" s="132"/>
      <c r="Y513" s="50">
        <f t="shared" si="106"/>
        <v>0</v>
      </c>
      <c r="Z513" s="50">
        <f t="shared" si="107"/>
        <v>0</v>
      </c>
      <c r="AA513" s="147">
        <f t="shared" si="115"/>
        <v>0</v>
      </c>
      <c r="AB513" s="136">
        <f t="shared" si="121"/>
        <v>0</v>
      </c>
      <c r="AC513" s="138">
        <v>0.05</v>
      </c>
      <c r="AD513" s="136">
        <f t="shared" si="119"/>
        <v>0</v>
      </c>
      <c r="AE513" s="136"/>
      <c r="AF513" s="132"/>
      <c r="AG513" s="140">
        <v>7.0000000000000007E-2</v>
      </c>
      <c r="AH513" s="141">
        <f t="shared" si="116"/>
        <v>0</v>
      </c>
      <c r="AI513" s="141">
        <v>-0.72000000000000097</v>
      </c>
      <c r="AJ513" s="141">
        <f t="shared" si="117"/>
        <v>0</v>
      </c>
      <c r="AK513" s="141">
        <v>0</v>
      </c>
      <c r="AL513" s="141">
        <f t="shared" si="118"/>
        <v>-0.72000000000000097</v>
      </c>
      <c r="AM513" s="141">
        <f t="shared" si="122"/>
        <v>0</v>
      </c>
    </row>
    <row r="514" spans="1:39" hidden="1" x14ac:dyDescent="0.25">
      <c r="A514" s="123" t="s">
        <v>300</v>
      </c>
      <c r="B514" s="132" t="s">
        <v>71</v>
      </c>
      <c r="C514" s="132" t="s">
        <v>72</v>
      </c>
      <c r="D514" s="132" t="s">
        <v>73</v>
      </c>
      <c r="E514" s="132" t="s">
        <v>74</v>
      </c>
      <c r="F514" s="132" t="s">
        <v>75</v>
      </c>
      <c r="G514" s="132" t="s">
        <v>76</v>
      </c>
      <c r="H514" s="132" t="s">
        <v>298</v>
      </c>
      <c r="I514" s="79" t="s">
        <v>78</v>
      </c>
      <c r="J514" s="79" t="s">
        <v>78</v>
      </c>
      <c r="K514" s="79" t="s">
        <v>3</v>
      </c>
      <c r="L514" s="132" t="s">
        <v>74</v>
      </c>
      <c r="M514" s="132"/>
      <c r="N514" s="132" t="s">
        <v>80</v>
      </c>
      <c r="O514" s="132" t="s">
        <v>94</v>
      </c>
      <c r="P514" s="140">
        <v>0.03</v>
      </c>
      <c r="Q514" s="134"/>
      <c r="R514" s="132"/>
      <c r="S514" s="141">
        <v>2383.1799999999998</v>
      </c>
      <c r="T514" s="141"/>
      <c r="U514" s="141">
        <v>0</v>
      </c>
      <c r="V514" s="136">
        <f t="shared" si="114"/>
        <v>2383.1799999999998</v>
      </c>
      <c r="W514" s="141">
        <f t="shared" si="120"/>
        <v>0</v>
      </c>
      <c r="X514" s="132"/>
      <c r="Y514" s="50">
        <f t="shared" ref="Y514:Y577" si="123">IF(W514-AB514&lt;0,0,IF(O514="返现",MAX(W514-AA514-AB514,0),MAX(W514-AB514,0)))</f>
        <v>0</v>
      </c>
      <c r="Z514" s="50">
        <f t="shared" ref="Z514:Z562" si="124">W514+X514+AN514</f>
        <v>0</v>
      </c>
      <c r="AA514" s="147">
        <f t="shared" si="115"/>
        <v>0</v>
      </c>
      <c r="AB514" s="136">
        <f t="shared" si="121"/>
        <v>0</v>
      </c>
      <c r="AC514" s="138">
        <v>0.05</v>
      </c>
      <c r="AD514" s="136">
        <f t="shared" si="119"/>
        <v>0</v>
      </c>
      <c r="AE514" s="136"/>
      <c r="AF514" s="132"/>
      <c r="AG514" s="140">
        <v>7.0000000000000007E-2</v>
      </c>
      <c r="AH514" s="141">
        <f t="shared" si="116"/>
        <v>0</v>
      </c>
      <c r="AI514" s="141">
        <v>0</v>
      </c>
      <c r="AJ514" s="141">
        <f t="shared" si="117"/>
        <v>0</v>
      </c>
      <c r="AK514" s="141">
        <v>0</v>
      </c>
      <c r="AL514" s="141">
        <f t="shared" si="118"/>
        <v>0</v>
      </c>
      <c r="AM514" s="141">
        <f t="shared" si="122"/>
        <v>0</v>
      </c>
    </row>
    <row r="515" spans="1:39" hidden="1" x14ac:dyDescent="0.25">
      <c r="A515" s="123" t="s">
        <v>300</v>
      </c>
      <c r="B515" s="132" t="s">
        <v>71</v>
      </c>
      <c r="C515" s="132" t="s">
        <v>82</v>
      </c>
      <c r="D515" s="132" t="s">
        <v>117</v>
      </c>
      <c r="E515" s="132" t="s">
        <v>118</v>
      </c>
      <c r="F515" s="132" t="s">
        <v>119</v>
      </c>
      <c r="G515" s="132" t="s">
        <v>76</v>
      </c>
      <c r="H515" s="132" t="s">
        <v>298</v>
      </c>
      <c r="I515" s="79" t="s">
        <v>78</v>
      </c>
      <c r="J515" s="79" t="s">
        <v>78</v>
      </c>
      <c r="K515" s="79" t="s">
        <v>3</v>
      </c>
      <c r="L515" s="132" t="s">
        <v>120</v>
      </c>
      <c r="M515" s="132"/>
      <c r="N515" s="132" t="s">
        <v>80</v>
      </c>
      <c r="O515" s="132" t="s">
        <v>94</v>
      </c>
      <c r="P515" s="140">
        <v>0.05</v>
      </c>
      <c r="Q515" s="134"/>
      <c r="R515" s="132"/>
      <c r="S515" s="141">
        <v>1766.24</v>
      </c>
      <c r="T515" s="141"/>
      <c r="U515" s="141">
        <v>0</v>
      </c>
      <c r="V515" s="136">
        <f t="shared" si="114"/>
        <v>1766.24</v>
      </c>
      <c r="W515" s="141">
        <f t="shared" si="120"/>
        <v>0</v>
      </c>
      <c r="X515" s="132"/>
      <c r="Y515" s="50">
        <f t="shared" si="123"/>
        <v>0</v>
      </c>
      <c r="Z515" s="50">
        <f t="shared" si="124"/>
        <v>0</v>
      </c>
      <c r="AA515" s="147">
        <f t="shared" si="115"/>
        <v>0</v>
      </c>
      <c r="AB515" s="136">
        <f t="shared" si="121"/>
        <v>0</v>
      </c>
      <c r="AC515" s="138">
        <v>0.05</v>
      </c>
      <c r="AD515" s="136">
        <f t="shared" si="119"/>
        <v>0</v>
      </c>
      <c r="AE515" s="136"/>
      <c r="AF515" s="132"/>
      <c r="AG515" s="140">
        <v>0.42</v>
      </c>
      <c r="AH515" s="141">
        <f t="shared" si="116"/>
        <v>0</v>
      </c>
      <c r="AI515" s="141">
        <v>0</v>
      </c>
      <c r="AJ515" s="141">
        <f t="shared" si="117"/>
        <v>0</v>
      </c>
      <c r="AK515" s="141">
        <v>0</v>
      </c>
      <c r="AL515" s="141">
        <f t="shared" si="118"/>
        <v>0</v>
      </c>
      <c r="AM515" s="141">
        <f t="shared" si="122"/>
        <v>0</v>
      </c>
    </row>
    <row r="516" spans="1:39" hidden="1" x14ac:dyDescent="0.25">
      <c r="A516" s="123" t="s">
        <v>300</v>
      </c>
      <c r="B516" s="132" t="s">
        <v>71</v>
      </c>
      <c r="C516" s="132" t="s">
        <v>127</v>
      </c>
      <c r="D516" s="132" t="s">
        <v>128</v>
      </c>
      <c r="E516" s="132" t="s">
        <v>129</v>
      </c>
      <c r="F516" s="132" t="s">
        <v>130</v>
      </c>
      <c r="G516" s="132" t="s">
        <v>76</v>
      </c>
      <c r="H516" s="132" t="s">
        <v>298</v>
      </c>
      <c r="I516" s="79" t="s">
        <v>78</v>
      </c>
      <c r="J516" s="79" t="s">
        <v>78</v>
      </c>
      <c r="K516" s="79" t="s">
        <v>3</v>
      </c>
      <c r="L516" s="132" t="s">
        <v>125</v>
      </c>
      <c r="M516" s="132"/>
      <c r="N516" s="132" t="s">
        <v>126</v>
      </c>
      <c r="O516" s="132" t="s">
        <v>94</v>
      </c>
      <c r="P516" s="140">
        <v>0.18</v>
      </c>
      <c r="Q516" s="134"/>
      <c r="R516" s="132"/>
      <c r="S516" s="141">
        <v>8102.9149295775096</v>
      </c>
      <c r="T516" s="141"/>
      <c r="U516" s="141">
        <v>0</v>
      </c>
      <c r="V516" s="136">
        <f t="shared" si="114"/>
        <v>8102.9149295775096</v>
      </c>
      <c r="W516" s="141">
        <f t="shared" si="120"/>
        <v>0</v>
      </c>
      <c r="X516" s="132"/>
      <c r="Y516" s="50">
        <f t="shared" si="123"/>
        <v>0</v>
      </c>
      <c r="Z516" s="50">
        <f t="shared" si="124"/>
        <v>0</v>
      </c>
      <c r="AA516" s="147">
        <f t="shared" si="115"/>
        <v>0</v>
      </c>
      <c r="AB516" s="136">
        <f t="shared" si="121"/>
        <v>0</v>
      </c>
      <c r="AC516" s="138">
        <v>0.05</v>
      </c>
      <c r="AD516" s="136">
        <f t="shared" si="119"/>
        <v>0</v>
      </c>
      <c r="AE516" s="136"/>
      <c r="AF516" s="132"/>
      <c r="AG516" s="140">
        <v>0.42</v>
      </c>
      <c r="AH516" s="141">
        <f t="shared" si="116"/>
        <v>0</v>
      </c>
      <c r="AI516" s="141">
        <v>0</v>
      </c>
      <c r="AJ516" s="141">
        <f t="shared" si="117"/>
        <v>0</v>
      </c>
      <c r="AK516" s="141">
        <v>0</v>
      </c>
      <c r="AL516" s="141">
        <f t="shared" si="118"/>
        <v>0</v>
      </c>
      <c r="AM516" s="141">
        <f t="shared" si="122"/>
        <v>0</v>
      </c>
    </row>
    <row r="517" spans="1:39" hidden="1" x14ac:dyDescent="0.25">
      <c r="A517" s="123" t="s">
        <v>300</v>
      </c>
      <c r="B517" s="132" t="s">
        <v>71</v>
      </c>
      <c r="C517" s="132" t="s">
        <v>127</v>
      </c>
      <c r="D517" s="132" t="s">
        <v>128</v>
      </c>
      <c r="E517" s="132" t="s">
        <v>151</v>
      </c>
      <c r="F517" s="132" t="s">
        <v>152</v>
      </c>
      <c r="G517" s="132" t="s">
        <v>76</v>
      </c>
      <c r="H517" s="132" t="s">
        <v>298</v>
      </c>
      <c r="I517" s="79" t="s">
        <v>78</v>
      </c>
      <c r="J517" s="79" t="s">
        <v>78</v>
      </c>
      <c r="K517" s="79" t="s">
        <v>3</v>
      </c>
      <c r="L517" s="132" t="s">
        <v>125</v>
      </c>
      <c r="M517" s="132"/>
      <c r="N517" s="132" t="s">
        <v>126</v>
      </c>
      <c r="O517" s="132" t="s">
        <v>94</v>
      </c>
      <c r="P517" s="140">
        <v>0.23</v>
      </c>
      <c r="Q517" s="134"/>
      <c r="R517" s="132"/>
      <c r="S517" s="141">
        <v>2063.5353521120301</v>
      </c>
      <c r="T517" s="141"/>
      <c r="U517" s="141">
        <v>0</v>
      </c>
      <c r="V517" s="136">
        <f t="shared" si="114"/>
        <v>2063.5353521120301</v>
      </c>
      <c r="W517" s="141">
        <f t="shared" si="120"/>
        <v>0</v>
      </c>
      <c r="X517" s="132"/>
      <c r="Y517" s="50">
        <f t="shared" si="123"/>
        <v>0</v>
      </c>
      <c r="Z517" s="50">
        <f t="shared" si="124"/>
        <v>0</v>
      </c>
      <c r="AA517" s="147">
        <f t="shared" si="115"/>
        <v>0</v>
      </c>
      <c r="AB517" s="136">
        <f t="shared" si="121"/>
        <v>0</v>
      </c>
      <c r="AC517" s="138">
        <v>0.05</v>
      </c>
      <c r="AD517" s="136">
        <f t="shared" si="119"/>
        <v>0</v>
      </c>
      <c r="AE517" s="136"/>
      <c r="AF517" s="132"/>
      <c r="AG517" s="140">
        <v>0.42</v>
      </c>
      <c r="AH517" s="141">
        <f t="shared" si="116"/>
        <v>0</v>
      </c>
      <c r="AI517" s="141">
        <v>0</v>
      </c>
      <c r="AJ517" s="141">
        <f t="shared" si="117"/>
        <v>0</v>
      </c>
      <c r="AK517" s="141">
        <v>0</v>
      </c>
      <c r="AL517" s="141">
        <f t="shared" si="118"/>
        <v>0</v>
      </c>
      <c r="AM517" s="141">
        <f t="shared" si="122"/>
        <v>0</v>
      </c>
    </row>
    <row r="518" spans="1:39" hidden="1" x14ac:dyDescent="0.25">
      <c r="A518" s="123" t="s">
        <v>300</v>
      </c>
      <c r="B518" s="132" t="s">
        <v>71</v>
      </c>
      <c r="C518" s="132" t="s">
        <v>127</v>
      </c>
      <c r="D518" s="132" t="s">
        <v>128</v>
      </c>
      <c r="E518" s="132" t="s">
        <v>131</v>
      </c>
      <c r="F518" s="132" t="s">
        <v>132</v>
      </c>
      <c r="G518" s="132" t="s">
        <v>76</v>
      </c>
      <c r="H518" s="132" t="s">
        <v>298</v>
      </c>
      <c r="I518" s="79" t="s">
        <v>78</v>
      </c>
      <c r="J518" s="79" t="s">
        <v>78</v>
      </c>
      <c r="K518" s="79" t="s">
        <v>3</v>
      </c>
      <c r="L518" s="132" t="s">
        <v>125</v>
      </c>
      <c r="M518" s="132"/>
      <c r="N518" s="132" t="s">
        <v>126</v>
      </c>
      <c r="O518" s="132" t="s">
        <v>94</v>
      </c>
      <c r="P518" s="140">
        <v>0.03</v>
      </c>
      <c r="Q518" s="134"/>
      <c r="R518" s="132"/>
      <c r="S518" s="141">
        <v>655.37999999978604</v>
      </c>
      <c r="T518" s="141"/>
      <c r="U518" s="141">
        <v>0</v>
      </c>
      <c r="V518" s="136">
        <f t="shared" si="114"/>
        <v>655.37999999978604</v>
      </c>
      <c r="W518" s="141">
        <f t="shared" si="120"/>
        <v>0</v>
      </c>
      <c r="X518" s="132"/>
      <c r="Y518" s="50">
        <f t="shared" si="123"/>
        <v>0</v>
      </c>
      <c r="Z518" s="50">
        <f t="shared" si="124"/>
        <v>0</v>
      </c>
      <c r="AA518" s="147">
        <f t="shared" si="115"/>
        <v>0</v>
      </c>
      <c r="AB518" s="136">
        <f t="shared" si="121"/>
        <v>0</v>
      </c>
      <c r="AC518" s="138">
        <v>0.05</v>
      </c>
      <c r="AD518" s="136">
        <f t="shared" si="119"/>
        <v>0</v>
      </c>
      <c r="AE518" s="136"/>
      <c r="AF518" s="132"/>
      <c r="AG518" s="140">
        <v>0.42</v>
      </c>
      <c r="AH518" s="141">
        <f t="shared" si="116"/>
        <v>0</v>
      </c>
      <c r="AI518" s="141">
        <v>0</v>
      </c>
      <c r="AJ518" s="141">
        <f t="shared" si="117"/>
        <v>0</v>
      </c>
      <c r="AK518" s="141">
        <v>0</v>
      </c>
      <c r="AL518" s="141">
        <f t="shared" si="118"/>
        <v>0</v>
      </c>
      <c r="AM518" s="141">
        <f t="shared" si="122"/>
        <v>0</v>
      </c>
    </row>
    <row r="519" spans="1:39" hidden="1" x14ac:dyDescent="0.25">
      <c r="A519" s="123" t="s">
        <v>300</v>
      </c>
      <c r="B519" s="132" t="s">
        <v>71</v>
      </c>
      <c r="C519" s="132" t="s">
        <v>127</v>
      </c>
      <c r="D519" s="132" t="s">
        <v>128</v>
      </c>
      <c r="E519" s="132" t="s">
        <v>133</v>
      </c>
      <c r="F519" s="132" t="s">
        <v>134</v>
      </c>
      <c r="G519" s="132" t="s">
        <v>76</v>
      </c>
      <c r="H519" s="132" t="s">
        <v>298</v>
      </c>
      <c r="I519" s="79" t="s">
        <v>78</v>
      </c>
      <c r="J519" s="79" t="s">
        <v>78</v>
      </c>
      <c r="K519" s="79" t="s">
        <v>3</v>
      </c>
      <c r="L519" s="132" t="s">
        <v>125</v>
      </c>
      <c r="M519" s="132"/>
      <c r="N519" s="132" t="s">
        <v>126</v>
      </c>
      <c r="O519" s="132" t="s">
        <v>94</v>
      </c>
      <c r="P519" s="140">
        <v>0.22</v>
      </c>
      <c r="Q519" s="134"/>
      <c r="R519" s="132"/>
      <c r="S519" s="141">
        <v>354.84000000002601</v>
      </c>
      <c r="T519" s="141"/>
      <c r="U519" s="141">
        <v>0</v>
      </c>
      <c r="V519" s="136">
        <f t="shared" si="114"/>
        <v>354.84000000002601</v>
      </c>
      <c r="W519" s="141">
        <f t="shared" si="120"/>
        <v>0</v>
      </c>
      <c r="X519" s="132"/>
      <c r="Y519" s="50">
        <f t="shared" si="123"/>
        <v>0</v>
      </c>
      <c r="Z519" s="50">
        <f t="shared" si="124"/>
        <v>0</v>
      </c>
      <c r="AA519" s="147">
        <f t="shared" si="115"/>
        <v>0</v>
      </c>
      <c r="AB519" s="136">
        <f t="shared" si="121"/>
        <v>0</v>
      </c>
      <c r="AC519" s="138">
        <v>0.05</v>
      </c>
      <c r="AD519" s="136">
        <f t="shared" si="119"/>
        <v>0</v>
      </c>
      <c r="AE519" s="136"/>
      <c r="AF519" s="132"/>
      <c r="AG519" s="140">
        <v>0.42</v>
      </c>
      <c r="AH519" s="141">
        <f t="shared" si="116"/>
        <v>0</v>
      </c>
      <c r="AI519" s="141">
        <v>0</v>
      </c>
      <c r="AJ519" s="141">
        <f t="shared" si="117"/>
        <v>0</v>
      </c>
      <c r="AK519" s="141">
        <v>0</v>
      </c>
      <c r="AL519" s="141">
        <f t="shared" si="118"/>
        <v>0</v>
      </c>
      <c r="AM519" s="141">
        <f t="shared" si="122"/>
        <v>0</v>
      </c>
    </row>
    <row r="520" spans="1:39" hidden="1" x14ac:dyDescent="0.25">
      <c r="A520" s="123" t="s">
        <v>300</v>
      </c>
      <c r="B520" s="132" t="s">
        <v>71</v>
      </c>
      <c r="C520" s="132" t="s">
        <v>127</v>
      </c>
      <c r="D520" s="132" t="s">
        <v>128</v>
      </c>
      <c r="E520" s="132" t="s">
        <v>138</v>
      </c>
      <c r="F520" s="132" t="s">
        <v>139</v>
      </c>
      <c r="G520" s="132" t="s">
        <v>76</v>
      </c>
      <c r="H520" s="132" t="s">
        <v>298</v>
      </c>
      <c r="I520" s="79" t="s">
        <v>78</v>
      </c>
      <c r="J520" s="79" t="s">
        <v>78</v>
      </c>
      <c r="K520" s="79" t="s">
        <v>3</v>
      </c>
      <c r="L520" s="132" t="s">
        <v>125</v>
      </c>
      <c r="M520" s="132"/>
      <c r="N520" s="132" t="s">
        <v>126</v>
      </c>
      <c r="O520" s="132" t="s">
        <v>94</v>
      </c>
      <c r="P520" s="140">
        <v>0.04</v>
      </c>
      <c r="Q520" s="134"/>
      <c r="R520" s="132"/>
      <c r="S520" s="141">
        <v>227.30774647876399</v>
      </c>
      <c r="T520" s="141"/>
      <c r="U520" s="141">
        <v>0</v>
      </c>
      <c r="V520" s="136">
        <f t="shared" si="114"/>
        <v>227.30774647876399</v>
      </c>
      <c r="W520" s="141">
        <f t="shared" si="120"/>
        <v>0</v>
      </c>
      <c r="X520" s="132"/>
      <c r="Y520" s="50">
        <f t="shared" si="123"/>
        <v>0</v>
      </c>
      <c r="Z520" s="50">
        <f t="shared" si="124"/>
        <v>0</v>
      </c>
      <c r="AA520" s="147">
        <f t="shared" si="115"/>
        <v>0</v>
      </c>
      <c r="AB520" s="136">
        <f t="shared" si="121"/>
        <v>0</v>
      </c>
      <c r="AC520" s="138">
        <v>0.05</v>
      </c>
      <c r="AD520" s="136">
        <f t="shared" si="119"/>
        <v>0</v>
      </c>
      <c r="AE520" s="136"/>
      <c r="AF520" s="132"/>
      <c r="AG520" s="140">
        <v>0.42</v>
      </c>
      <c r="AH520" s="141">
        <f t="shared" si="116"/>
        <v>0</v>
      </c>
      <c r="AI520" s="141">
        <v>0</v>
      </c>
      <c r="AJ520" s="141">
        <f t="shared" si="117"/>
        <v>0</v>
      </c>
      <c r="AK520" s="141">
        <v>0</v>
      </c>
      <c r="AL520" s="141">
        <f t="shared" si="118"/>
        <v>0</v>
      </c>
      <c r="AM520" s="141">
        <f t="shared" si="122"/>
        <v>0</v>
      </c>
    </row>
    <row r="521" spans="1:39" hidden="1" x14ac:dyDescent="0.25">
      <c r="A521" s="123" t="s">
        <v>300</v>
      </c>
      <c r="B521" s="132" t="s">
        <v>71</v>
      </c>
      <c r="C521" s="132" t="s">
        <v>127</v>
      </c>
      <c r="D521" s="132" t="s">
        <v>128</v>
      </c>
      <c r="E521" s="132" t="s">
        <v>123</v>
      </c>
      <c r="F521" s="132" t="s">
        <v>140</v>
      </c>
      <c r="G521" s="132" t="s">
        <v>76</v>
      </c>
      <c r="H521" s="132" t="s">
        <v>298</v>
      </c>
      <c r="I521" s="79" t="s">
        <v>78</v>
      </c>
      <c r="J521" s="79" t="s">
        <v>78</v>
      </c>
      <c r="K521" s="79" t="s">
        <v>3</v>
      </c>
      <c r="L521" s="132" t="s">
        <v>125</v>
      </c>
      <c r="M521" s="132"/>
      <c r="N521" s="132" t="s">
        <v>126</v>
      </c>
      <c r="O521" s="132" t="s">
        <v>94</v>
      </c>
      <c r="P521" s="140">
        <v>0.23</v>
      </c>
      <c r="Q521" s="134"/>
      <c r="R521" s="132"/>
      <c r="S521" s="141">
        <v>152.264929577999</v>
      </c>
      <c r="T521" s="141"/>
      <c r="U521" s="141">
        <v>0</v>
      </c>
      <c r="V521" s="136">
        <f t="shared" si="114"/>
        <v>152.264929577999</v>
      </c>
      <c r="W521" s="141">
        <f t="shared" si="120"/>
        <v>0</v>
      </c>
      <c r="X521" s="132"/>
      <c r="Y521" s="50">
        <f t="shared" si="123"/>
        <v>0</v>
      </c>
      <c r="Z521" s="50">
        <f t="shared" si="124"/>
        <v>0</v>
      </c>
      <c r="AA521" s="147">
        <f t="shared" si="115"/>
        <v>0</v>
      </c>
      <c r="AB521" s="136">
        <f t="shared" si="121"/>
        <v>0</v>
      </c>
      <c r="AC521" s="138">
        <v>0.05</v>
      </c>
      <c r="AD521" s="136">
        <f t="shared" si="119"/>
        <v>0</v>
      </c>
      <c r="AE521" s="136"/>
      <c r="AF521" s="132"/>
      <c r="AG521" s="140">
        <v>0.42</v>
      </c>
      <c r="AH521" s="141">
        <f t="shared" si="116"/>
        <v>0</v>
      </c>
      <c r="AI521" s="141">
        <v>0</v>
      </c>
      <c r="AJ521" s="141">
        <f t="shared" si="117"/>
        <v>0</v>
      </c>
      <c r="AK521" s="141">
        <v>0</v>
      </c>
      <c r="AL521" s="141">
        <f t="shared" si="118"/>
        <v>0</v>
      </c>
      <c r="AM521" s="141">
        <f t="shared" si="122"/>
        <v>0</v>
      </c>
    </row>
    <row r="522" spans="1:39" hidden="1" x14ac:dyDescent="0.25">
      <c r="A522" s="123" t="s">
        <v>300</v>
      </c>
      <c r="B522" s="132" t="s">
        <v>71</v>
      </c>
      <c r="C522" s="132" t="s">
        <v>127</v>
      </c>
      <c r="D522" s="132" t="s">
        <v>128</v>
      </c>
      <c r="E522" s="132" t="s">
        <v>141</v>
      </c>
      <c r="F522" s="132" t="s">
        <v>142</v>
      </c>
      <c r="G522" s="132" t="s">
        <v>76</v>
      </c>
      <c r="H522" s="132" t="s">
        <v>298</v>
      </c>
      <c r="I522" s="79" t="s">
        <v>78</v>
      </c>
      <c r="J522" s="79" t="s">
        <v>78</v>
      </c>
      <c r="K522" s="79" t="s">
        <v>3</v>
      </c>
      <c r="L522" s="132" t="s">
        <v>125</v>
      </c>
      <c r="M522" s="132"/>
      <c r="N522" s="132" t="s">
        <v>126</v>
      </c>
      <c r="O522" s="132" t="s">
        <v>94</v>
      </c>
      <c r="P522" s="140">
        <v>0.13</v>
      </c>
      <c r="Q522" s="134"/>
      <c r="R522" s="132"/>
      <c r="S522" s="141">
        <v>-30329.470000000099</v>
      </c>
      <c r="T522" s="141"/>
      <c r="U522" s="141">
        <v>0</v>
      </c>
      <c r="V522" s="136">
        <f t="shared" si="114"/>
        <v>-30329.470000000099</v>
      </c>
      <c r="W522" s="141">
        <f t="shared" si="120"/>
        <v>0</v>
      </c>
      <c r="X522" s="132"/>
      <c r="Y522" s="50">
        <f t="shared" si="123"/>
        <v>0</v>
      </c>
      <c r="Z522" s="50">
        <f t="shared" si="124"/>
        <v>0</v>
      </c>
      <c r="AA522" s="147">
        <f t="shared" si="115"/>
        <v>0</v>
      </c>
      <c r="AB522" s="136">
        <f t="shared" si="121"/>
        <v>0</v>
      </c>
      <c r="AC522" s="138">
        <v>0.05</v>
      </c>
      <c r="AD522" s="136">
        <f t="shared" si="119"/>
        <v>0</v>
      </c>
      <c r="AE522" s="136"/>
      <c r="AF522" s="132"/>
      <c r="AG522" s="140">
        <v>0.42</v>
      </c>
      <c r="AH522" s="141">
        <f t="shared" si="116"/>
        <v>0</v>
      </c>
      <c r="AI522" s="141">
        <v>0</v>
      </c>
      <c r="AJ522" s="141">
        <f t="shared" si="117"/>
        <v>0</v>
      </c>
      <c r="AK522" s="141">
        <v>0</v>
      </c>
      <c r="AL522" s="141">
        <f t="shared" si="118"/>
        <v>0</v>
      </c>
      <c r="AM522" s="141">
        <f t="shared" si="122"/>
        <v>0</v>
      </c>
    </row>
    <row r="523" spans="1:39" hidden="1" x14ac:dyDescent="0.25">
      <c r="A523" s="123" t="s">
        <v>300</v>
      </c>
      <c r="B523" s="132" t="s">
        <v>71</v>
      </c>
      <c r="C523" s="132" t="s">
        <v>127</v>
      </c>
      <c r="D523" s="132" t="s">
        <v>128</v>
      </c>
      <c r="E523" s="132" t="s">
        <v>143</v>
      </c>
      <c r="F523" s="132" t="s">
        <v>144</v>
      </c>
      <c r="G523" s="132" t="s">
        <v>76</v>
      </c>
      <c r="H523" s="132" t="s">
        <v>298</v>
      </c>
      <c r="I523" s="79" t="s">
        <v>78</v>
      </c>
      <c r="J523" s="79" t="s">
        <v>78</v>
      </c>
      <c r="K523" s="79" t="s">
        <v>3</v>
      </c>
      <c r="L523" s="132" t="s">
        <v>125</v>
      </c>
      <c r="M523" s="132"/>
      <c r="N523" s="132" t="s">
        <v>126</v>
      </c>
      <c r="O523" s="132" t="s">
        <v>94</v>
      </c>
      <c r="P523" s="140">
        <v>0.03</v>
      </c>
      <c r="Q523" s="134"/>
      <c r="R523" s="132"/>
      <c r="S523" s="141">
        <v>425.555211267598</v>
      </c>
      <c r="T523" s="141"/>
      <c r="U523" s="141">
        <v>0</v>
      </c>
      <c r="V523" s="136">
        <f t="shared" si="114"/>
        <v>425.555211267598</v>
      </c>
      <c r="W523" s="141">
        <f t="shared" si="120"/>
        <v>0</v>
      </c>
      <c r="X523" s="132"/>
      <c r="Y523" s="50">
        <f t="shared" si="123"/>
        <v>0</v>
      </c>
      <c r="Z523" s="50">
        <f t="shared" si="124"/>
        <v>0</v>
      </c>
      <c r="AA523" s="147">
        <f t="shared" si="115"/>
        <v>0</v>
      </c>
      <c r="AB523" s="136">
        <f t="shared" si="121"/>
        <v>0</v>
      </c>
      <c r="AC523" s="138">
        <v>0.05</v>
      </c>
      <c r="AD523" s="136">
        <f t="shared" si="119"/>
        <v>0</v>
      </c>
      <c r="AE523" s="136"/>
      <c r="AF523" s="132"/>
      <c r="AG523" s="140">
        <v>0.42</v>
      </c>
      <c r="AH523" s="141">
        <f t="shared" si="116"/>
        <v>0</v>
      </c>
      <c r="AI523" s="141">
        <v>0</v>
      </c>
      <c r="AJ523" s="141">
        <f t="shared" si="117"/>
        <v>0</v>
      </c>
      <c r="AK523" s="141">
        <v>0</v>
      </c>
      <c r="AL523" s="141">
        <f t="shared" si="118"/>
        <v>0</v>
      </c>
      <c r="AM523" s="141">
        <f t="shared" si="122"/>
        <v>0</v>
      </c>
    </row>
    <row r="524" spans="1:39" hidden="1" x14ac:dyDescent="0.25">
      <c r="A524" s="123" t="s">
        <v>300</v>
      </c>
      <c r="B524" s="132" t="s">
        <v>71</v>
      </c>
      <c r="C524" s="132" t="s">
        <v>127</v>
      </c>
      <c r="D524" s="132" t="s">
        <v>128</v>
      </c>
      <c r="E524" s="132" t="s">
        <v>145</v>
      </c>
      <c r="F524" s="132" t="s">
        <v>146</v>
      </c>
      <c r="G524" s="132" t="s">
        <v>76</v>
      </c>
      <c r="H524" s="132" t="s">
        <v>298</v>
      </c>
      <c r="I524" s="79" t="s">
        <v>78</v>
      </c>
      <c r="J524" s="79" t="s">
        <v>78</v>
      </c>
      <c r="K524" s="79" t="s">
        <v>3</v>
      </c>
      <c r="L524" s="132" t="s">
        <v>125</v>
      </c>
      <c r="M524" s="132"/>
      <c r="N524" s="132" t="s">
        <v>126</v>
      </c>
      <c r="O524" s="132" t="s">
        <v>94</v>
      </c>
      <c r="P524" s="140">
        <v>0.22</v>
      </c>
      <c r="Q524" s="134"/>
      <c r="R524" s="132"/>
      <c r="S524" s="141">
        <v>1402.38690140774</v>
      </c>
      <c r="T524" s="141"/>
      <c r="U524" s="141">
        <v>0</v>
      </c>
      <c r="V524" s="136">
        <f t="shared" si="114"/>
        <v>1402.38690140774</v>
      </c>
      <c r="W524" s="141">
        <f t="shared" si="120"/>
        <v>0</v>
      </c>
      <c r="X524" s="132"/>
      <c r="Y524" s="50">
        <f t="shared" si="123"/>
        <v>0</v>
      </c>
      <c r="Z524" s="50">
        <f t="shared" si="124"/>
        <v>0</v>
      </c>
      <c r="AA524" s="147">
        <f t="shared" si="115"/>
        <v>0</v>
      </c>
      <c r="AB524" s="136">
        <f t="shared" si="121"/>
        <v>0</v>
      </c>
      <c r="AC524" s="138">
        <v>0.05</v>
      </c>
      <c r="AD524" s="136">
        <f t="shared" si="119"/>
        <v>0</v>
      </c>
      <c r="AE524" s="136"/>
      <c r="AF524" s="132"/>
      <c r="AG524" s="140">
        <v>0.42</v>
      </c>
      <c r="AH524" s="141">
        <f t="shared" si="116"/>
        <v>0</v>
      </c>
      <c r="AI524" s="141">
        <v>0</v>
      </c>
      <c r="AJ524" s="141">
        <f t="shared" si="117"/>
        <v>0</v>
      </c>
      <c r="AK524" s="141">
        <v>0</v>
      </c>
      <c r="AL524" s="141">
        <f t="shared" si="118"/>
        <v>0</v>
      </c>
      <c r="AM524" s="141">
        <f t="shared" si="122"/>
        <v>0</v>
      </c>
    </row>
    <row r="525" spans="1:39" hidden="1" x14ac:dyDescent="0.25">
      <c r="A525" s="123" t="s">
        <v>300</v>
      </c>
      <c r="B525" s="132" t="s">
        <v>71</v>
      </c>
      <c r="C525" s="132" t="s">
        <v>127</v>
      </c>
      <c r="D525" s="132" t="s">
        <v>128</v>
      </c>
      <c r="E525" s="132" t="s">
        <v>147</v>
      </c>
      <c r="F525" s="132" t="s">
        <v>148</v>
      </c>
      <c r="G525" s="132" t="s">
        <v>76</v>
      </c>
      <c r="H525" s="132" t="s">
        <v>298</v>
      </c>
      <c r="I525" s="79" t="s">
        <v>78</v>
      </c>
      <c r="J525" s="79" t="s">
        <v>78</v>
      </c>
      <c r="K525" s="79" t="s">
        <v>3</v>
      </c>
      <c r="L525" s="132" t="s">
        <v>125</v>
      </c>
      <c r="M525" s="132"/>
      <c r="N525" s="132" t="s">
        <v>126</v>
      </c>
      <c r="O525" s="132" t="s">
        <v>94</v>
      </c>
      <c r="P525" s="140">
        <v>0.23</v>
      </c>
      <c r="Q525" s="134"/>
      <c r="R525" s="132"/>
      <c r="S525" s="141">
        <v>12961.68</v>
      </c>
      <c r="T525" s="141"/>
      <c r="U525" s="141">
        <v>0</v>
      </c>
      <c r="V525" s="136">
        <f t="shared" si="114"/>
        <v>12961.68</v>
      </c>
      <c r="W525" s="141">
        <f t="shared" si="120"/>
        <v>0</v>
      </c>
      <c r="X525" s="132"/>
      <c r="Y525" s="50">
        <f t="shared" si="123"/>
        <v>0</v>
      </c>
      <c r="Z525" s="50">
        <f t="shared" si="124"/>
        <v>0</v>
      </c>
      <c r="AA525" s="147">
        <f t="shared" si="115"/>
        <v>0</v>
      </c>
      <c r="AB525" s="136">
        <f t="shared" si="121"/>
        <v>0</v>
      </c>
      <c r="AC525" s="138">
        <v>0.05</v>
      </c>
      <c r="AD525" s="136">
        <f t="shared" si="119"/>
        <v>0</v>
      </c>
      <c r="AE525" s="136"/>
      <c r="AF525" s="132"/>
      <c r="AG525" s="140">
        <v>0.42</v>
      </c>
      <c r="AH525" s="141">
        <f t="shared" si="116"/>
        <v>0</v>
      </c>
      <c r="AI525" s="141">
        <v>0</v>
      </c>
      <c r="AJ525" s="141">
        <f t="shared" si="117"/>
        <v>0</v>
      </c>
      <c r="AK525" s="141">
        <v>0</v>
      </c>
      <c r="AL525" s="141">
        <f t="shared" si="118"/>
        <v>0</v>
      </c>
      <c r="AM525" s="141">
        <f t="shared" si="122"/>
        <v>0</v>
      </c>
    </row>
    <row r="526" spans="1:39" hidden="1" x14ac:dyDescent="0.25">
      <c r="A526" s="123" t="s">
        <v>300</v>
      </c>
      <c r="B526" s="132" t="s">
        <v>71</v>
      </c>
      <c r="C526" s="132" t="s">
        <v>127</v>
      </c>
      <c r="D526" s="132" t="s">
        <v>128</v>
      </c>
      <c r="E526" s="132" t="s">
        <v>149</v>
      </c>
      <c r="F526" s="132" t="s">
        <v>150</v>
      </c>
      <c r="G526" s="132" t="s">
        <v>76</v>
      </c>
      <c r="H526" s="132" t="s">
        <v>298</v>
      </c>
      <c r="I526" s="79" t="s">
        <v>78</v>
      </c>
      <c r="J526" s="79" t="s">
        <v>78</v>
      </c>
      <c r="K526" s="79" t="s">
        <v>3</v>
      </c>
      <c r="L526" s="132" t="s">
        <v>125</v>
      </c>
      <c r="M526" s="132"/>
      <c r="N526" s="132" t="s">
        <v>126</v>
      </c>
      <c r="O526" s="132" t="s">
        <v>94</v>
      </c>
      <c r="P526" s="140">
        <v>0.13</v>
      </c>
      <c r="Q526" s="134"/>
      <c r="R526" s="132"/>
      <c r="S526" s="141">
        <v>143.460985915328</v>
      </c>
      <c r="T526" s="141"/>
      <c r="U526" s="141">
        <v>0</v>
      </c>
      <c r="V526" s="136">
        <f t="shared" si="114"/>
        <v>143.460985915328</v>
      </c>
      <c r="W526" s="141">
        <f t="shared" si="120"/>
        <v>0</v>
      </c>
      <c r="X526" s="132"/>
      <c r="Y526" s="50">
        <f t="shared" si="123"/>
        <v>0</v>
      </c>
      <c r="Z526" s="50">
        <f t="shared" si="124"/>
        <v>0</v>
      </c>
      <c r="AA526" s="147">
        <f t="shared" si="115"/>
        <v>0</v>
      </c>
      <c r="AB526" s="136">
        <f t="shared" si="121"/>
        <v>0</v>
      </c>
      <c r="AC526" s="138">
        <v>0.05</v>
      </c>
      <c r="AD526" s="136">
        <f t="shared" si="119"/>
        <v>0</v>
      </c>
      <c r="AE526" s="136"/>
      <c r="AF526" s="132"/>
      <c r="AG526" s="140">
        <v>0.42</v>
      </c>
      <c r="AH526" s="141">
        <f t="shared" si="116"/>
        <v>0</v>
      </c>
      <c r="AI526" s="141">
        <v>0</v>
      </c>
      <c r="AJ526" s="141">
        <f t="shared" si="117"/>
        <v>0</v>
      </c>
      <c r="AK526" s="141">
        <v>0</v>
      </c>
      <c r="AL526" s="141">
        <f t="shared" si="118"/>
        <v>0</v>
      </c>
      <c r="AM526" s="141">
        <f t="shared" si="122"/>
        <v>0</v>
      </c>
    </row>
    <row r="527" spans="1:39" hidden="1" x14ac:dyDescent="0.25">
      <c r="A527" s="123" t="s">
        <v>300</v>
      </c>
      <c r="B527" s="132" t="s">
        <v>71</v>
      </c>
      <c r="C527" s="132" t="s">
        <v>127</v>
      </c>
      <c r="D527" s="132" t="s">
        <v>153</v>
      </c>
      <c r="E527" s="132" t="s">
        <v>154</v>
      </c>
      <c r="F527" s="132" t="s">
        <v>155</v>
      </c>
      <c r="G527" s="132" t="s">
        <v>76</v>
      </c>
      <c r="H527" s="132" t="s">
        <v>298</v>
      </c>
      <c r="I527" s="79" t="s">
        <v>78</v>
      </c>
      <c r="J527" s="79" t="s">
        <v>78</v>
      </c>
      <c r="K527" s="79" t="s">
        <v>3</v>
      </c>
      <c r="L527" s="132" t="s">
        <v>125</v>
      </c>
      <c r="M527" s="132"/>
      <c r="N527" s="132" t="s">
        <v>126</v>
      </c>
      <c r="O527" s="132" t="s">
        <v>94</v>
      </c>
      <c r="P527" s="140">
        <v>0.18</v>
      </c>
      <c r="Q527" s="134"/>
      <c r="R527" s="132"/>
      <c r="S527" s="141">
        <v>42851.614929577998</v>
      </c>
      <c r="T527" s="141"/>
      <c r="U527" s="141">
        <v>0</v>
      </c>
      <c r="V527" s="136">
        <f t="shared" si="114"/>
        <v>42851.614929577998</v>
      </c>
      <c r="W527" s="141">
        <f t="shared" si="120"/>
        <v>0</v>
      </c>
      <c r="X527" s="132"/>
      <c r="Y527" s="50">
        <f t="shared" si="123"/>
        <v>0</v>
      </c>
      <c r="Z527" s="50">
        <f t="shared" si="124"/>
        <v>0</v>
      </c>
      <c r="AA527" s="147">
        <f t="shared" si="115"/>
        <v>0</v>
      </c>
      <c r="AB527" s="136">
        <f t="shared" si="121"/>
        <v>0</v>
      </c>
      <c r="AC527" s="138">
        <v>0.05</v>
      </c>
      <c r="AD527" s="136">
        <f t="shared" si="119"/>
        <v>0</v>
      </c>
      <c r="AE527" s="136"/>
      <c r="AF527" s="132"/>
      <c r="AG527" s="140">
        <v>0.42</v>
      </c>
      <c r="AH527" s="141">
        <f t="shared" si="116"/>
        <v>0</v>
      </c>
      <c r="AI527" s="141">
        <v>29942.36</v>
      </c>
      <c r="AJ527" s="141">
        <f t="shared" si="117"/>
        <v>0</v>
      </c>
      <c r="AK527" s="141">
        <v>0</v>
      </c>
      <c r="AL527" s="141">
        <f t="shared" si="118"/>
        <v>29942.36</v>
      </c>
      <c r="AM527" s="141">
        <f t="shared" si="122"/>
        <v>0</v>
      </c>
    </row>
    <row r="528" spans="1:39" hidden="1" x14ac:dyDescent="0.25">
      <c r="A528" s="123" t="s">
        <v>300</v>
      </c>
      <c r="B528" s="132" t="s">
        <v>71</v>
      </c>
      <c r="C528" s="132" t="s">
        <v>127</v>
      </c>
      <c r="D528" s="132" t="s">
        <v>153</v>
      </c>
      <c r="E528" s="132" t="s">
        <v>125</v>
      </c>
      <c r="F528" s="132" t="s">
        <v>156</v>
      </c>
      <c r="G528" s="132" t="s">
        <v>76</v>
      </c>
      <c r="H528" s="132" t="s">
        <v>298</v>
      </c>
      <c r="I528" s="79" t="s">
        <v>78</v>
      </c>
      <c r="J528" s="79" t="s">
        <v>78</v>
      </c>
      <c r="K528" s="79" t="s">
        <v>3</v>
      </c>
      <c r="L528" s="132" t="s">
        <v>125</v>
      </c>
      <c r="M528" s="132"/>
      <c r="N528" s="132" t="s">
        <v>126</v>
      </c>
      <c r="O528" s="132" t="s">
        <v>94</v>
      </c>
      <c r="P528" s="140">
        <v>0.08</v>
      </c>
      <c r="Q528" s="134"/>
      <c r="R528" s="132"/>
      <c r="S528" s="141">
        <v>29897.39</v>
      </c>
      <c r="T528" s="141"/>
      <c r="U528" s="141">
        <v>0</v>
      </c>
      <c r="V528" s="136">
        <f t="shared" si="114"/>
        <v>29897.39</v>
      </c>
      <c r="W528" s="141">
        <f t="shared" si="120"/>
        <v>0</v>
      </c>
      <c r="X528" s="132"/>
      <c r="Y528" s="50">
        <f t="shared" si="123"/>
        <v>0</v>
      </c>
      <c r="Z528" s="50">
        <f t="shared" si="124"/>
        <v>0</v>
      </c>
      <c r="AA528" s="147">
        <f t="shared" si="115"/>
        <v>0</v>
      </c>
      <c r="AB528" s="136">
        <f t="shared" si="121"/>
        <v>0</v>
      </c>
      <c r="AC528" s="138">
        <v>0.05</v>
      </c>
      <c r="AD528" s="136">
        <f t="shared" si="119"/>
        <v>0</v>
      </c>
      <c r="AE528" s="136"/>
      <c r="AF528" s="132"/>
      <c r="AG528" s="140">
        <v>0.42</v>
      </c>
      <c r="AH528" s="141">
        <f t="shared" si="116"/>
        <v>0</v>
      </c>
      <c r="AI528" s="141">
        <v>0</v>
      </c>
      <c r="AJ528" s="141">
        <f t="shared" si="117"/>
        <v>0</v>
      </c>
      <c r="AK528" s="141">
        <v>0</v>
      </c>
      <c r="AL528" s="141">
        <f t="shared" si="118"/>
        <v>0</v>
      </c>
      <c r="AM528" s="141">
        <f t="shared" si="122"/>
        <v>0</v>
      </c>
    </row>
    <row r="529" spans="1:39" hidden="1" x14ac:dyDescent="0.25">
      <c r="A529" s="123" t="s">
        <v>300</v>
      </c>
      <c r="B529" s="132" t="s">
        <v>71</v>
      </c>
      <c r="C529" s="132" t="s">
        <v>127</v>
      </c>
      <c r="D529" s="132" t="s">
        <v>153</v>
      </c>
      <c r="E529" s="132" t="s">
        <v>157</v>
      </c>
      <c r="F529" s="132" t="s">
        <v>158</v>
      </c>
      <c r="G529" s="132" t="s">
        <v>76</v>
      </c>
      <c r="H529" s="132" t="s">
        <v>298</v>
      </c>
      <c r="I529" s="79" t="s">
        <v>78</v>
      </c>
      <c r="J529" s="79" t="s">
        <v>78</v>
      </c>
      <c r="K529" s="79" t="s">
        <v>3</v>
      </c>
      <c r="L529" s="132" t="s">
        <v>125</v>
      </c>
      <c r="M529" s="132"/>
      <c r="N529" s="132" t="s">
        <v>126</v>
      </c>
      <c r="O529" s="132" t="s">
        <v>94</v>
      </c>
      <c r="P529" s="140">
        <v>0.08</v>
      </c>
      <c r="Q529" s="134"/>
      <c r="R529" s="132"/>
      <c r="S529" s="141">
        <v>20014.111126760599</v>
      </c>
      <c r="T529" s="141"/>
      <c r="U529" s="141">
        <v>0</v>
      </c>
      <c r="V529" s="136">
        <f t="shared" si="114"/>
        <v>20014.111126760599</v>
      </c>
      <c r="W529" s="141">
        <f t="shared" si="120"/>
        <v>0</v>
      </c>
      <c r="X529" s="132"/>
      <c r="Y529" s="50">
        <f t="shared" si="123"/>
        <v>0</v>
      </c>
      <c r="Z529" s="50">
        <f t="shared" si="124"/>
        <v>0</v>
      </c>
      <c r="AA529" s="147">
        <f t="shared" si="115"/>
        <v>0</v>
      </c>
      <c r="AB529" s="136">
        <f t="shared" si="121"/>
        <v>0</v>
      </c>
      <c r="AC529" s="138">
        <v>0.05</v>
      </c>
      <c r="AD529" s="136">
        <f t="shared" si="119"/>
        <v>0</v>
      </c>
      <c r="AE529" s="136"/>
      <c r="AF529" s="132"/>
      <c r="AG529" s="140">
        <v>0.42</v>
      </c>
      <c r="AH529" s="141">
        <f t="shared" si="116"/>
        <v>0</v>
      </c>
      <c r="AI529" s="141">
        <v>0</v>
      </c>
      <c r="AJ529" s="141">
        <f t="shared" si="117"/>
        <v>0</v>
      </c>
      <c r="AK529" s="141">
        <v>0</v>
      </c>
      <c r="AL529" s="141">
        <f t="shared" si="118"/>
        <v>0</v>
      </c>
      <c r="AM529" s="141">
        <f t="shared" si="122"/>
        <v>0</v>
      </c>
    </row>
    <row r="530" spans="1:39" hidden="1" x14ac:dyDescent="0.25">
      <c r="A530" s="123" t="s">
        <v>300</v>
      </c>
      <c r="B530" s="132" t="s">
        <v>71</v>
      </c>
      <c r="C530" s="132" t="s">
        <v>127</v>
      </c>
      <c r="D530" s="132" t="s">
        <v>153</v>
      </c>
      <c r="E530" s="132" t="s">
        <v>159</v>
      </c>
      <c r="F530" s="132" t="s">
        <v>160</v>
      </c>
      <c r="G530" s="132" t="s">
        <v>76</v>
      </c>
      <c r="H530" s="132" t="s">
        <v>298</v>
      </c>
      <c r="I530" s="79" t="s">
        <v>78</v>
      </c>
      <c r="J530" s="79" t="s">
        <v>78</v>
      </c>
      <c r="K530" s="79" t="s">
        <v>3</v>
      </c>
      <c r="L530" s="132" t="s">
        <v>125</v>
      </c>
      <c r="M530" s="132"/>
      <c r="N530" s="132" t="s">
        <v>126</v>
      </c>
      <c r="O530" s="132" t="s">
        <v>94</v>
      </c>
      <c r="P530" s="140">
        <v>0.04</v>
      </c>
      <c r="Q530" s="134"/>
      <c r="R530" s="132"/>
      <c r="S530" s="141">
        <v>322.47394365991897</v>
      </c>
      <c r="T530" s="141"/>
      <c r="U530" s="141">
        <v>0</v>
      </c>
      <c r="V530" s="136">
        <f t="shared" si="114"/>
        <v>322.47394365991897</v>
      </c>
      <c r="W530" s="141">
        <f t="shared" si="120"/>
        <v>0</v>
      </c>
      <c r="X530" s="132"/>
      <c r="Y530" s="50">
        <f t="shared" si="123"/>
        <v>0</v>
      </c>
      <c r="Z530" s="50">
        <f t="shared" si="124"/>
        <v>0</v>
      </c>
      <c r="AA530" s="147">
        <f t="shared" si="115"/>
        <v>0</v>
      </c>
      <c r="AB530" s="136">
        <f t="shared" si="121"/>
        <v>0</v>
      </c>
      <c r="AC530" s="138">
        <v>0.05</v>
      </c>
      <c r="AD530" s="136">
        <f t="shared" si="119"/>
        <v>0</v>
      </c>
      <c r="AE530" s="136"/>
      <c r="AF530" s="132"/>
      <c r="AG530" s="140">
        <v>0.42</v>
      </c>
      <c r="AH530" s="141">
        <f t="shared" si="116"/>
        <v>0</v>
      </c>
      <c r="AI530" s="141">
        <v>0</v>
      </c>
      <c r="AJ530" s="141">
        <f t="shared" si="117"/>
        <v>0</v>
      </c>
      <c r="AK530" s="141">
        <v>0</v>
      </c>
      <c r="AL530" s="141">
        <f t="shared" si="118"/>
        <v>0</v>
      </c>
      <c r="AM530" s="141">
        <f t="shared" si="122"/>
        <v>0</v>
      </c>
    </row>
    <row r="531" spans="1:39" hidden="1" x14ac:dyDescent="0.25">
      <c r="A531" s="123" t="s">
        <v>300</v>
      </c>
      <c r="B531" s="132" t="s">
        <v>71</v>
      </c>
      <c r="C531" s="132" t="s">
        <v>127</v>
      </c>
      <c r="D531" s="132" t="s">
        <v>153</v>
      </c>
      <c r="E531" s="132" t="s">
        <v>161</v>
      </c>
      <c r="F531" s="132" t="s">
        <v>162</v>
      </c>
      <c r="G531" s="132" t="s">
        <v>76</v>
      </c>
      <c r="H531" s="132" t="s">
        <v>298</v>
      </c>
      <c r="I531" s="79" t="s">
        <v>78</v>
      </c>
      <c r="J531" s="79" t="s">
        <v>78</v>
      </c>
      <c r="K531" s="79" t="s">
        <v>3</v>
      </c>
      <c r="L531" s="132" t="s">
        <v>125</v>
      </c>
      <c r="M531" s="132"/>
      <c r="N531" s="132" t="s">
        <v>126</v>
      </c>
      <c r="O531" s="132" t="s">
        <v>94</v>
      </c>
      <c r="P531" s="140">
        <v>0.23</v>
      </c>
      <c r="Q531" s="134"/>
      <c r="R531" s="132"/>
      <c r="S531" s="141">
        <v>196.54507042269699</v>
      </c>
      <c r="T531" s="141"/>
      <c r="U531" s="141">
        <v>0</v>
      </c>
      <c r="V531" s="136">
        <f t="shared" si="114"/>
        <v>196.54507042269699</v>
      </c>
      <c r="W531" s="141">
        <f t="shared" si="120"/>
        <v>0</v>
      </c>
      <c r="X531" s="132"/>
      <c r="Y531" s="50">
        <f t="shared" si="123"/>
        <v>0</v>
      </c>
      <c r="Z531" s="50">
        <f t="shared" si="124"/>
        <v>0</v>
      </c>
      <c r="AA531" s="147">
        <f t="shared" ref="AA531:AA558" si="125">IF(O531="返现",W531*P531,U531-W531)</f>
        <v>0</v>
      </c>
      <c r="AB531" s="136">
        <f t="shared" si="121"/>
        <v>0</v>
      </c>
      <c r="AC531" s="138">
        <v>0.05</v>
      </c>
      <c r="AD531" s="136">
        <f t="shared" si="119"/>
        <v>0</v>
      </c>
      <c r="AE531" s="136"/>
      <c r="AF531" s="132"/>
      <c r="AG531" s="140">
        <v>0.42</v>
      </c>
      <c r="AH531" s="141">
        <f t="shared" si="116"/>
        <v>0</v>
      </c>
      <c r="AI531" s="141">
        <v>0</v>
      </c>
      <c r="AJ531" s="141">
        <f t="shared" ref="AJ531:AJ558" si="126">T531*AG531</f>
        <v>0</v>
      </c>
      <c r="AK531" s="141">
        <v>0</v>
      </c>
      <c r="AL531" s="141">
        <f t="shared" ref="AL531:AL558" si="127">AI531+AJ531-AK531+U531</f>
        <v>0</v>
      </c>
      <c r="AM531" s="141">
        <f t="shared" si="122"/>
        <v>0</v>
      </c>
    </row>
    <row r="532" spans="1:39" hidden="1" x14ac:dyDescent="0.25">
      <c r="A532" s="123" t="s">
        <v>300</v>
      </c>
      <c r="B532" s="132" t="s">
        <v>71</v>
      </c>
      <c r="C532" s="132" t="s">
        <v>127</v>
      </c>
      <c r="D532" s="132" t="s">
        <v>153</v>
      </c>
      <c r="E532" s="132" t="s">
        <v>163</v>
      </c>
      <c r="F532" s="132" t="s">
        <v>164</v>
      </c>
      <c r="G532" s="132" t="s">
        <v>76</v>
      </c>
      <c r="H532" s="132" t="s">
        <v>298</v>
      </c>
      <c r="I532" s="79" t="s">
        <v>78</v>
      </c>
      <c r="J532" s="79" t="s">
        <v>78</v>
      </c>
      <c r="K532" s="79" t="s">
        <v>3</v>
      </c>
      <c r="L532" s="132" t="s">
        <v>125</v>
      </c>
      <c r="M532" s="132"/>
      <c r="N532" s="132" t="s">
        <v>126</v>
      </c>
      <c r="O532" s="132" t="s">
        <v>94</v>
      </c>
      <c r="P532" s="140">
        <v>0.03</v>
      </c>
      <c r="Q532" s="134"/>
      <c r="R532" s="132"/>
      <c r="S532" s="141">
        <v>1513.0032394366101</v>
      </c>
      <c r="T532" s="141"/>
      <c r="U532" s="141">
        <v>0</v>
      </c>
      <c r="V532" s="136">
        <f t="shared" si="114"/>
        <v>1513.0032394366101</v>
      </c>
      <c r="W532" s="141">
        <f t="shared" si="120"/>
        <v>0</v>
      </c>
      <c r="X532" s="132"/>
      <c r="Y532" s="50">
        <f t="shared" si="123"/>
        <v>0</v>
      </c>
      <c r="Z532" s="50">
        <f t="shared" si="124"/>
        <v>0</v>
      </c>
      <c r="AA532" s="147">
        <f t="shared" si="125"/>
        <v>0</v>
      </c>
      <c r="AB532" s="136">
        <f t="shared" si="121"/>
        <v>0</v>
      </c>
      <c r="AC532" s="138">
        <v>0.05</v>
      </c>
      <c r="AD532" s="136">
        <f t="shared" si="119"/>
        <v>0</v>
      </c>
      <c r="AE532" s="136"/>
      <c r="AF532" s="132"/>
      <c r="AG532" s="140">
        <v>0.42</v>
      </c>
      <c r="AH532" s="141">
        <f t="shared" si="116"/>
        <v>0</v>
      </c>
      <c r="AI532" s="141">
        <v>0</v>
      </c>
      <c r="AJ532" s="141">
        <f t="shared" si="126"/>
        <v>0</v>
      </c>
      <c r="AK532" s="141">
        <v>0</v>
      </c>
      <c r="AL532" s="141">
        <f t="shared" si="127"/>
        <v>0</v>
      </c>
      <c r="AM532" s="141">
        <f t="shared" si="122"/>
        <v>0</v>
      </c>
    </row>
    <row r="533" spans="1:39" hidden="1" x14ac:dyDescent="0.25">
      <c r="A533" s="123" t="s">
        <v>300</v>
      </c>
      <c r="B533" s="132" t="s">
        <v>71</v>
      </c>
      <c r="C533" s="132" t="s">
        <v>127</v>
      </c>
      <c r="D533" s="132" t="s">
        <v>153</v>
      </c>
      <c r="E533" s="132" t="s">
        <v>165</v>
      </c>
      <c r="F533" s="132" t="s">
        <v>166</v>
      </c>
      <c r="G533" s="132" t="s">
        <v>76</v>
      </c>
      <c r="H533" s="132" t="s">
        <v>298</v>
      </c>
      <c r="I533" s="79" t="s">
        <v>78</v>
      </c>
      <c r="J533" s="79" t="s">
        <v>78</v>
      </c>
      <c r="K533" s="79" t="s">
        <v>3</v>
      </c>
      <c r="L533" s="132" t="s">
        <v>125</v>
      </c>
      <c r="M533" s="132"/>
      <c r="N533" s="132" t="s">
        <v>126</v>
      </c>
      <c r="O533" s="132" t="s">
        <v>94</v>
      </c>
      <c r="P533" s="140">
        <v>0.03</v>
      </c>
      <c r="Q533" s="134"/>
      <c r="R533" s="132"/>
      <c r="S533" s="141">
        <v>6504.6216901406997</v>
      </c>
      <c r="T533" s="141"/>
      <c r="U533" s="141">
        <v>0</v>
      </c>
      <c r="V533" s="136">
        <f t="shared" si="114"/>
        <v>6504.6216901406997</v>
      </c>
      <c r="W533" s="141">
        <f t="shared" si="120"/>
        <v>0</v>
      </c>
      <c r="X533" s="132"/>
      <c r="Y533" s="50">
        <f t="shared" si="123"/>
        <v>0</v>
      </c>
      <c r="Z533" s="50">
        <f t="shared" si="124"/>
        <v>0</v>
      </c>
      <c r="AA533" s="147">
        <f t="shared" si="125"/>
        <v>0</v>
      </c>
      <c r="AB533" s="136">
        <f t="shared" si="121"/>
        <v>0</v>
      </c>
      <c r="AC533" s="138">
        <v>0.05</v>
      </c>
      <c r="AD533" s="136">
        <f t="shared" si="119"/>
        <v>0</v>
      </c>
      <c r="AE533" s="136"/>
      <c r="AF533" s="132"/>
      <c r="AG533" s="140">
        <v>0</v>
      </c>
      <c r="AH533" s="141">
        <f t="shared" si="116"/>
        <v>0</v>
      </c>
      <c r="AI533" s="141">
        <v>0</v>
      </c>
      <c r="AJ533" s="141">
        <f t="shared" si="126"/>
        <v>0</v>
      </c>
      <c r="AK533" s="141">
        <v>0</v>
      </c>
      <c r="AL533" s="141">
        <f t="shared" si="127"/>
        <v>0</v>
      </c>
      <c r="AM533" s="141">
        <f t="shared" si="122"/>
        <v>0</v>
      </c>
    </row>
    <row r="534" spans="1:39" hidden="1" x14ac:dyDescent="0.25">
      <c r="A534" s="123" t="s">
        <v>300</v>
      </c>
      <c r="B534" s="132" t="s">
        <v>71</v>
      </c>
      <c r="C534" s="132" t="s">
        <v>127</v>
      </c>
      <c r="D534" s="132" t="s">
        <v>153</v>
      </c>
      <c r="E534" s="132" t="s">
        <v>167</v>
      </c>
      <c r="F534" s="132" t="s">
        <v>168</v>
      </c>
      <c r="G534" s="132" t="s">
        <v>76</v>
      </c>
      <c r="H534" s="132" t="s">
        <v>298</v>
      </c>
      <c r="I534" s="79" t="s">
        <v>78</v>
      </c>
      <c r="J534" s="79" t="s">
        <v>78</v>
      </c>
      <c r="K534" s="79" t="s">
        <v>3</v>
      </c>
      <c r="L534" s="132" t="s">
        <v>125</v>
      </c>
      <c r="M534" s="132"/>
      <c r="N534" s="132" t="s">
        <v>126</v>
      </c>
      <c r="O534" s="132" t="s">
        <v>94</v>
      </c>
      <c r="P534" s="140">
        <v>0.18</v>
      </c>
      <c r="Q534" s="134"/>
      <c r="R534" s="132"/>
      <c r="S534" s="141">
        <v>44820.261970721403</v>
      </c>
      <c r="T534" s="141"/>
      <c r="U534" s="141">
        <v>0</v>
      </c>
      <c r="V534" s="136">
        <f t="shared" si="114"/>
        <v>44820.261970721403</v>
      </c>
      <c r="W534" s="141">
        <f t="shared" si="120"/>
        <v>0</v>
      </c>
      <c r="X534" s="132"/>
      <c r="Y534" s="50">
        <f t="shared" si="123"/>
        <v>0</v>
      </c>
      <c r="Z534" s="50">
        <f t="shared" si="124"/>
        <v>0</v>
      </c>
      <c r="AA534" s="147">
        <f t="shared" si="125"/>
        <v>0</v>
      </c>
      <c r="AB534" s="136">
        <f t="shared" si="121"/>
        <v>0</v>
      </c>
      <c r="AC534" s="138">
        <v>0.05</v>
      </c>
      <c r="AD534" s="136">
        <f t="shared" si="119"/>
        <v>0</v>
      </c>
      <c r="AE534" s="136"/>
      <c r="AF534" s="132"/>
      <c r="AG534" s="140">
        <v>0.42</v>
      </c>
      <c r="AH534" s="141">
        <f t="shared" si="116"/>
        <v>0</v>
      </c>
      <c r="AI534" s="141">
        <v>0</v>
      </c>
      <c r="AJ534" s="141">
        <f t="shared" si="126"/>
        <v>0</v>
      </c>
      <c r="AK534" s="141">
        <v>0</v>
      </c>
      <c r="AL534" s="141">
        <f t="shared" si="127"/>
        <v>0</v>
      </c>
      <c r="AM534" s="141">
        <f t="shared" si="122"/>
        <v>0</v>
      </c>
    </row>
    <row r="535" spans="1:39" hidden="1" x14ac:dyDescent="0.25">
      <c r="A535" s="123" t="s">
        <v>300</v>
      </c>
      <c r="B535" s="132" t="s">
        <v>71</v>
      </c>
      <c r="C535" s="132" t="s">
        <v>127</v>
      </c>
      <c r="D535" s="132" t="s">
        <v>153</v>
      </c>
      <c r="E535" s="132" t="s">
        <v>169</v>
      </c>
      <c r="F535" s="132" t="s">
        <v>170</v>
      </c>
      <c r="G535" s="132" t="s">
        <v>76</v>
      </c>
      <c r="H535" s="132" t="s">
        <v>298</v>
      </c>
      <c r="I535" s="79" t="s">
        <v>78</v>
      </c>
      <c r="J535" s="79" t="s">
        <v>78</v>
      </c>
      <c r="K535" s="79" t="s">
        <v>3</v>
      </c>
      <c r="L535" s="132" t="s">
        <v>125</v>
      </c>
      <c r="M535" s="132"/>
      <c r="N535" s="132" t="s">
        <v>126</v>
      </c>
      <c r="O535" s="132" t="s">
        <v>94</v>
      </c>
      <c r="P535" s="140">
        <v>0.23</v>
      </c>
      <c r="Q535" s="134"/>
      <c r="R535" s="132"/>
      <c r="S535" s="141">
        <v>132154.611549297</v>
      </c>
      <c r="T535" s="141"/>
      <c r="U535" s="141">
        <v>0</v>
      </c>
      <c r="V535" s="136">
        <f t="shared" si="114"/>
        <v>132154.611549297</v>
      </c>
      <c r="W535" s="141">
        <f t="shared" si="120"/>
        <v>0</v>
      </c>
      <c r="X535" s="132"/>
      <c r="Y535" s="50">
        <f t="shared" si="123"/>
        <v>0</v>
      </c>
      <c r="Z535" s="50">
        <f t="shared" si="124"/>
        <v>0</v>
      </c>
      <c r="AA535" s="147">
        <f t="shared" si="125"/>
        <v>0</v>
      </c>
      <c r="AB535" s="136">
        <f t="shared" si="121"/>
        <v>0</v>
      </c>
      <c r="AC535" s="138">
        <v>0.05</v>
      </c>
      <c r="AD535" s="136">
        <f t="shared" si="119"/>
        <v>0</v>
      </c>
      <c r="AE535" s="136"/>
      <c r="AF535" s="132"/>
      <c r="AG535" s="140">
        <v>0.42</v>
      </c>
      <c r="AH535" s="141">
        <f t="shared" si="116"/>
        <v>0</v>
      </c>
      <c r="AI535" s="141">
        <v>0</v>
      </c>
      <c r="AJ535" s="141">
        <f t="shared" si="126"/>
        <v>0</v>
      </c>
      <c r="AK535" s="141">
        <v>0</v>
      </c>
      <c r="AL535" s="141">
        <f t="shared" si="127"/>
        <v>0</v>
      </c>
      <c r="AM535" s="141">
        <f t="shared" si="122"/>
        <v>0</v>
      </c>
    </row>
    <row r="536" spans="1:39" hidden="1" x14ac:dyDescent="0.25">
      <c r="A536" s="123" t="s">
        <v>300</v>
      </c>
      <c r="B536" s="132" t="s">
        <v>71</v>
      </c>
      <c r="C536" s="132" t="s">
        <v>127</v>
      </c>
      <c r="D536" s="132" t="s">
        <v>153</v>
      </c>
      <c r="E536" s="132" t="s">
        <v>171</v>
      </c>
      <c r="F536" s="132" t="s">
        <v>172</v>
      </c>
      <c r="G536" s="132" t="s">
        <v>76</v>
      </c>
      <c r="H536" s="132" t="s">
        <v>298</v>
      </c>
      <c r="I536" s="79" t="s">
        <v>78</v>
      </c>
      <c r="J536" s="79" t="s">
        <v>78</v>
      </c>
      <c r="K536" s="79" t="s">
        <v>3</v>
      </c>
      <c r="L536" s="132" t="s">
        <v>125</v>
      </c>
      <c r="M536" s="132"/>
      <c r="N536" s="132" t="s">
        <v>126</v>
      </c>
      <c r="O536" s="132" t="s">
        <v>94</v>
      </c>
      <c r="P536" s="140">
        <v>0.03</v>
      </c>
      <c r="Q536" s="134"/>
      <c r="R536" s="132"/>
      <c r="S536" s="141">
        <v>14157.309295774699</v>
      </c>
      <c r="T536" s="141"/>
      <c r="U536" s="141">
        <v>0</v>
      </c>
      <c r="V536" s="136">
        <f t="shared" si="114"/>
        <v>14157.309295774699</v>
      </c>
      <c r="W536" s="141">
        <f t="shared" si="120"/>
        <v>0</v>
      </c>
      <c r="X536" s="132"/>
      <c r="Y536" s="50">
        <f t="shared" si="123"/>
        <v>0</v>
      </c>
      <c r="Z536" s="50">
        <f t="shared" si="124"/>
        <v>0</v>
      </c>
      <c r="AA536" s="147">
        <f t="shared" si="125"/>
        <v>0</v>
      </c>
      <c r="AB536" s="136">
        <f t="shared" si="121"/>
        <v>0</v>
      </c>
      <c r="AC536" s="138">
        <v>0.05</v>
      </c>
      <c r="AD536" s="136">
        <f t="shared" si="119"/>
        <v>0</v>
      </c>
      <c r="AE536" s="136"/>
      <c r="AF536" s="132"/>
      <c r="AG536" s="140">
        <v>0.42</v>
      </c>
      <c r="AH536" s="141">
        <f t="shared" si="116"/>
        <v>0</v>
      </c>
      <c r="AI536" s="141">
        <v>0</v>
      </c>
      <c r="AJ536" s="141">
        <f t="shared" si="126"/>
        <v>0</v>
      </c>
      <c r="AK536" s="141">
        <v>0</v>
      </c>
      <c r="AL536" s="141">
        <f t="shared" si="127"/>
        <v>0</v>
      </c>
      <c r="AM536" s="141">
        <f t="shared" si="122"/>
        <v>0</v>
      </c>
    </row>
    <row r="537" spans="1:39" hidden="1" x14ac:dyDescent="0.25">
      <c r="A537" s="123" t="s">
        <v>300</v>
      </c>
      <c r="B537" s="132" t="s">
        <v>71</v>
      </c>
      <c r="C537" s="132" t="s">
        <v>127</v>
      </c>
      <c r="D537" s="132" t="s">
        <v>153</v>
      </c>
      <c r="E537" s="132" t="s">
        <v>173</v>
      </c>
      <c r="F537" s="132" t="s">
        <v>174</v>
      </c>
      <c r="G537" s="132" t="s">
        <v>76</v>
      </c>
      <c r="H537" s="132" t="s">
        <v>298</v>
      </c>
      <c r="I537" s="79" t="s">
        <v>78</v>
      </c>
      <c r="J537" s="79" t="s">
        <v>78</v>
      </c>
      <c r="K537" s="79" t="s">
        <v>3</v>
      </c>
      <c r="L537" s="132" t="s">
        <v>125</v>
      </c>
      <c r="M537" s="132"/>
      <c r="N537" s="132" t="s">
        <v>126</v>
      </c>
      <c r="O537" s="132" t="s">
        <v>94</v>
      </c>
      <c r="P537" s="140">
        <v>0.03</v>
      </c>
      <c r="Q537" s="134"/>
      <c r="R537" s="132"/>
      <c r="S537" s="141">
        <v>480.55873239384499</v>
      </c>
      <c r="T537" s="141"/>
      <c r="U537" s="141">
        <v>0</v>
      </c>
      <c r="V537" s="136">
        <f t="shared" si="114"/>
        <v>480.55873239384499</v>
      </c>
      <c r="W537" s="141">
        <f t="shared" ref="W537:W558" si="128">IF(O537="返现",U537,IF(O537="折扣",U537*P537,U537*(1+AG537)/(1+P537+AG537)))</f>
        <v>0</v>
      </c>
      <c r="X537" s="132"/>
      <c r="Y537" s="50">
        <f t="shared" si="123"/>
        <v>0</v>
      </c>
      <c r="Z537" s="50">
        <f t="shared" si="124"/>
        <v>0</v>
      </c>
      <c r="AA537" s="147">
        <f t="shared" si="125"/>
        <v>0</v>
      </c>
      <c r="AB537" s="136">
        <f t="shared" ref="AB537:AB558" si="129">U537</f>
        <v>0</v>
      </c>
      <c r="AC537" s="138">
        <v>0.05</v>
      </c>
      <c r="AD537" s="136">
        <f t="shared" si="119"/>
        <v>0</v>
      </c>
      <c r="AE537" s="136"/>
      <c r="AF537" s="132"/>
      <c r="AG537" s="140">
        <v>0.42</v>
      </c>
      <c r="AH537" s="141">
        <f t="shared" si="116"/>
        <v>0</v>
      </c>
      <c r="AI537" s="141">
        <v>0</v>
      </c>
      <c r="AJ537" s="141">
        <f t="shared" si="126"/>
        <v>0</v>
      </c>
      <c r="AK537" s="141">
        <v>0</v>
      </c>
      <c r="AL537" s="141">
        <f t="shared" si="127"/>
        <v>0</v>
      </c>
      <c r="AM537" s="141">
        <f t="shared" ref="AM537:AM558" si="130">IF(O537="返现",AK537/(1+AG537),IF(O537="折扣",AK537*P537,AK537/(1+P537+AG537)))</f>
        <v>0</v>
      </c>
    </row>
    <row r="538" spans="1:39" hidden="1" x14ac:dyDescent="0.25">
      <c r="A538" s="123" t="s">
        <v>300</v>
      </c>
      <c r="B538" s="132" t="s">
        <v>71</v>
      </c>
      <c r="C538" s="132" t="s">
        <v>127</v>
      </c>
      <c r="D538" s="132" t="s">
        <v>153</v>
      </c>
      <c r="E538" s="132" t="s">
        <v>175</v>
      </c>
      <c r="F538" s="132" t="s">
        <v>176</v>
      </c>
      <c r="G538" s="132" t="s">
        <v>76</v>
      </c>
      <c r="H538" s="132" t="s">
        <v>298</v>
      </c>
      <c r="I538" s="79" t="s">
        <v>78</v>
      </c>
      <c r="J538" s="79" t="s">
        <v>78</v>
      </c>
      <c r="K538" s="79" t="s">
        <v>3</v>
      </c>
      <c r="L538" s="132" t="s">
        <v>125</v>
      </c>
      <c r="M538" s="132"/>
      <c r="N538" s="132" t="s">
        <v>126</v>
      </c>
      <c r="O538" s="132" t="s">
        <v>94</v>
      </c>
      <c r="P538" s="140">
        <v>0.23</v>
      </c>
      <c r="Q538" s="134"/>
      <c r="R538" s="132"/>
      <c r="S538" s="141">
        <v>88.72</v>
      </c>
      <c r="T538" s="141"/>
      <c r="U538" s="141">
        <v>0</v>
      </c>
      <c r="V538" s="136">
        <f t="shared" si="114"/>
        <v>88.72</v>
      </c>
      <c r="W538" s="141">
        <f t="shared" si="128"/>
        <v>0</v>
      </c>
      <c r="X538" s="132"/>
      <c r="Y538" s="50">
        <f t="shared" si="123"/>
        <v>0</v>
      </c>
      <c r="Z538" s="50">
        <f t="shared" si="124"/>
        <v>0</v>
      </c>
      <c r="AA538" s="147">
        <f t="shared" si="125"/>
        <v>0</v>
      </c>
      <c r="AB538" s="136">
        <f t="shared" si="129"/>
        <v>0</v>
      </c>
      <c r="AC538" s="138">
        <v>0.05</v>
      </c>
      <c r="AD538" s="136">
        <f t="shared" si="119"/>
        <v>0</v>
      </c>
      <c r="AE538" s="136"/>
      <c r="AF538" s="132"/>
      <c r="AG538" s="140">
        <v>0.42</v>
      </c>
      <c r="AH538" s="141">
        <f t="shared" si="116"/>
        <v>0</v>
      </c>
      <c r="AI538" s="141">
        <v>0</v>
      </c>
      <c r="AJ538" s="141">
        <f t="shared" si="126"/>
        <v>0</v>
      </c>
      <c r="AK538" s="141">
        <v>0</v>
      </c>
      <c r="AL538" s="141">
        <f t="shared" si="127"/>
        <v>0</v>
      </c>
      <c r="AM538" s="141">
        <f t="shared" si="130"/>
        <v>0</v>
      </c>
    </row>
    <row r="539" spans="1:39" hidden="1" x14ac:dyDescent="0.25">
      <c r="A539" s="123" t="s">
        <v>300</v>
      </c>
      <c r="B539" s="132" t="s">
        <v>71</v>
      </c>
      <c r="C539" s="132" t="s">
        <v>127</v>
      </c>
      <c r="D539" s="132" t="s">
        <v>153</v>
      </c>
      <c r="E539" s="132" t="s">
        <v>177</v>
      </c>
      <c r="F539" s="132" t="s">
        <v>178</v>
      </c>
      <c r="G539" s="132" t="s">
        <v>76</v>
      </c>
      <c r="H539" s="132" t="s">
        <v>298</v>
      </c>
      <c r="I539" s="79" t="s">
        <v>78</v>
      </c>
      <c r="J539" s="79" t="s">
        <v>78</v>
      </c>
      <c r="K539" s="79" t="s">
        <v>3</v>
      </c>
      <c r="L539" s="132" t="s">
        <v>125</v>
      </c>
      <c r="M539" s="132"/>
      <c r="N539" s="132" t="s">
        <v>126</v>
      </c>
      <c r="O539" s="132" t="s">
        <v>94</v>
      </c>
      <c r="P539" s="140">
        <v>0.18</v>
      </c>
      <c r="Q539" s="134"/>
      <c r="R539" s="132"/>
      <c r="S539" s="141">
        <v>147.29985915508601</v>
      </c>
      <c r="T539" s="141"/>
      <c r="U539" s="141">
        <v>0</v>
      </c>
      <c r="V539" s="136">
        <f t="shared" si="114"/>
        <v>147.29985915508601</v>
      </c>
      <c r="W539" s="141">
        <f t="shared" si="128"/>
        <v>0</v>
      </c>
      <c r="X539" s="132"/>
      <c r="Y539" s="50">
        <f t="shared" si="123"/>
        <v>0</v>
      </c>
      <c r="Z539" s="50">
        <f t="shared" si="124"/>
        <v>0</v>
      </c>
      <c r="AA539" s="147">
        <f t="shared" si="125"/>
        <v>0</v>
      </c>
      <c r="AB539" s="136">
        <f t="shared" si="129"/>
        <v>0</v>
      </c>
      <c r="AC539" s="138">
        <v>0.05</v>
      </c>
      <c r="AD539" s="136">
        <f t="shared" si="119"/>
        <v>0</v>
      </c>
      <c r="AE539" s="136"/>
      <c r="AF539" s="132"/>
      <c r="AG539" s="140">
        <v>0.42</v>
      </c>
      <c r="AH539" s="141">
        <f t="shared" si="116"/>
        <v>0</v>
      </c>
      <c r="AI539" s="141">
        <v>0</v>
      </c>
      <c r="AJ539" s="141">
        <f t="shared" si="126"/>
        <v>0</v>
      </c>
      <c r="AK539" s="141">
        <v>0</v>
      </c>
      <c r="AL539" s="141">
        <f t="shared" si="127"/>
        <v>0</v>
      </c>
      <c r="AM539" s="141">
        <f t="shared" si="130"/>
        <v>0</v>
      </c>
    </row>
    <row r="540" spans="1:39" hidden="1" x14ac:dyDescent="0.25">
      <c r="A540" s="123" t="s">
        <v>300</v>
      </c>
      <c r="B540" s="132" t="s">
        <v>71</v>
      </c>
      <c r="C540" s="132" t="s">
        <v>127</v>
      </c>
      <c r="D540" s="132" t="s">
        <v>153</v>
      </c>
      <c r="E540" s="132" t="s">
        <v>179</v>
      </c>
      <c r="F540" s="132" t="s">
        <v>180</v>
      </c>
      <c r="G540" s="132" t="s">
        <v>76</v>
      </c>
      <c r="H540" s="132" t="s">
        <v>298</v>
      </c>
      <c r="I540" s="79" t="s">
        <v>78</v>
      </c>
      <c r="J540" s="79" t="s">
        <v>78</v>
      </c>
      <c r="K540" s="79" t="s">
        <v>3</v>
      </c>
      <c r="L540" s="132" t="s">
        <v>125</v>
      </c>
      <c r="M540" s="132"/>
      <c r="N540" s="132" t="s">
        <v>126</v>
      </c>
      <c r="O540" s="132" t="s">
        <v>94</v>
      </c>
      <c r="P540" s="140">
        <v>0.18</v>
      </c>
      <c r="Q540" s="134"/>
      <c r="R540" s="132"/>
      <c r="S540" s="141">
        <v>4215.2245070423196</v>
      </c>
      <c r="T540" s="141"/>
      <c r="U540" s="141">
        <v>0</v>
      </c>
      <c r="V540" s="136">
        <f t="shared" si="114"/>
        <v>4215.2245070423196</v>
      </c>
      <c r="W540" s="141">
        <f t="shared" si="128"/>
        <v>0</v>
      </c>
      <c r="X540" s="132"/>
      <c r="Y540" s="50">
        <f t="shared" si="123"/>
        <v>0</v>
      </c>
      <c r="Z540" s="50">
        <f t="shared" si="124"/>
        <v>0</v>
      </c>
      <c r="AA540" s="147">
        <f t="shared" si="125"/>
        <v>0</v>
      </c>
      <c r="AB540" s="136">
        <f t="shared" si="129"/>
        <v>0</v>
      </c>
      <c r="AC540" s="138">
        <v>0.05</v>
      </c>
      <c r="AD540" s="136">
        <f t="shared" si="119"/>
        <v>0</v>
      </c>
      <c r="AE540" s="136"/>
      <c r="AF540" s="132"/>
      <c r="AG540" s="140">
        <v>0.42</v>
      </c>
      <c r="AH540" s="141">
        <f t="shared" si="116"/>
        <v>0</v>
      </c>
      <c r="AI540" s="141">
        <v>0</v>
      </c>
      <c r="AJ540" s="141">
        <f t="shared" si="126"/>
        <v>0</v>
      </c>
      <c r="AK540" s="141">
        <v>0</v>
      </c>
      <c r="AL540" s="141">
        <f t="shared" si="127"/>
        <v>0</v>
      </c>
      <c r="AM540" s="141">
        <f t="shared" si="130"/>
        <v>0</v>
      </c>
    </row>
    <row r="541" spans="1:39" hidden="1" x14ac:dyDescent="0.25">
      <c r="A541" s="123" t="s">
        <v>300</v>
      </c>
      <c r="B541" s="132" t="s">
        <v>71</v>
      </c>
      <c r="C541" s="132" t="s">
        <v>127</v>
      </c>
      <c r="D541" s="132" t="s">
        <v>153</v>
      </c>
      <c r="E541" s="132" t="s">
        <v>181</v>
      </c>
      <c r="F541" s="132" t="s">
        <v>182</v>
      </c>
      <c r="G541" s="132" t="s">
        <v>76</v>
      </c>
      <c r="H541" s="132" t="s">
        <v>298</v>
      </c>
      <c r="I541" s="79" t="s">
        <v>78</v>
      </c>
      <c r="J541" s="79" t="s">
        <v>78</v>
      </c>
      <c r="K541" s="79" t="s">
        <v>3</v>
      </c>
      <c r="L541" s="132" t="s">
        <v>125</v>
      </c>
      <c r="M541" s="132"/>
      <c r="N541" s="132" t="s">
        <v>126</v>
      </c>
      <c r="O541" s="132" t="s">
        <v>94</v>
      </c>
      <c r="P541" s="140">
        <v>0.23</v>
      </c>
      <c r="Q541" s="134"/>
      <c r="R541" s="132"/>
      <c r="S541" s="141">
        <v>127.3395774647</v>
      </c>
      <c r="T541" s="141"/>
      <c r="U541" s="141">
        <v>0</v>
      </c>
      <c r="V541" s="136">
        <f t="shared" si="114"/>
        <v>127.3395774647</v>
      </c>
      <c r="W541" s="141">
        <f t="shared" si="128"/>
        <v>0</v>
      </c>
      <c r="X541" s="132"/>
      <c r="Y541" s="50">
        <f t="shared" si="123"/>
        <v>0</v>
      </c>
      <c r="Z541" s="50">
        <f t="shared" si="124"/>
        <v>0</v>
      </c>
      <c r="AA541" s="147">
        <f t="shared" si="125"/>
        <v>0</v>
      </c>
      <c r="AB541" s="136">
        <f t="shared" si="129"/>
        <v>0</v>
      </c>
      <c r="AC541" s="138">
        <v>0.05</v>
      </c>
      <c r="AD541" s="136">
        <f t="shared" si="119"/>
        <v>0</v>
      </c>
      <c r="AE541" s="136"/>
      <c r="AF541" s="132"/>
      <c r="AG541" s="140">
        <v>0.42</v>
      </c>
      <c r="AH541" s="141">
        <f t="shared" si="116"/>
        <v>0</v>
      </c>
      <c r="AI541" s="141">
        <v>0</v>
      </c>
      <c r="AJ541" s="141">
        <f t="shared" si="126"/>
        <v>0</v>
      </c>
      <c r="AK541" s="141">
        <v>0</v>
      </c>
      <c r="AL541" s="141">
        <f t="shared" si="127"/>
        <v>0</v>
      </c>
      <c r="AM541" s="141">
        <f t="shared" si="130"/>
        <v>0</v>
      </c>
    </row>
    <row r="542" spans="1:39" hidden="1" x14ac:dyDescent="0.25">
      <c r="A542" s="123" t="s">
        <v>300</v>
      </c>
      <c r="B542" s="132" t="s">
        <v>71</v>
      </c>
      <c r="C542" s="132" t="s">
        <v>127</v>
      </c>
      <c r="D542" s="132" t="s">
        <v>153</v>
      </c>
      <c r="E542" s="132" t="s">
        <v>183</v>
      </c>
      <c r="F542" s="132" t="s">
        <v>184</v>
      </c>
      <c r="G542" s="132" t="s">
        <v>76</v>
      </c>
      <c r="H542" s="132" t="s">
        <v>298</v>
      </c>
      <c r="I542" s="79" t="s">
        <v>78</v>
      </c>
      <c r="J542" s="79" t="s">
        <v>78</v>
      </c>
      <c r="K542" s="79" t="s">
        <v>3</v>
      </c>
      <c r="L542" s="132" t="s">
        <v>125</v>
      </c>
      <c r="M542" s="132"/>
      <c r="N542" s="132" t="s">
        <v>126</v>
      </c>
      <c r="O542" s="132" t="s">
        <v>94</v>
      </c>
      <c r="P542" s="140">
        <v>0.23</v>
      </c>
      <c r="Q542" s="134"/>
      <c r="R542" s="132"/>
      <c r="S542" s="141">
        <v>172.66352112698999</v>
      </c>
      <c r="T542" s="141"/>
      <c r="U542" s="141">
        <v>0</v>
      </c>
      <c r="V542" s="136">
        <f t="shared" si="114"/>
        <v>172.66352112698999</v>
      </c>
      <c r="W542" s="141">
        <f t="shared" si="128"/>
        <v>0</v>
      </c>
      <c r="X542" s="132"/>
      <c r="Y542" s="50">
        <f t="shared" si="123"/>
        <v>0</v>
      </c>
      <c r="Z542" s="50">
        <f t="shared" si="124"/>
        <v>0</v>
      </c>
      <c r="AA542" s="147">
        <f t="shared" si="125"/>
        <v>0</v>
      </c>
      <c r="AB542" s="136">
        <f t="shared" si="129"/>
        <v>0</v>
      </c>
      <c r="AC542" s="138">
        <v>0.05</v>
      </c>
      <c r="AD542" s="136">
        <f t="shared" si="119"/>
        <v>0</v>
      </c>
      <c r="AE542" s="136"/>
      <c r="AF542" s="132"/>
      <c r="AG542" s="140">
        <v>0.42</v>
      </c>
      <c r="AH542" s="141">
        <f t="shared" si="116"/>
        <v>0</v>
      </c>
      <c r="AI542" s="141">
        <v>0</v>
      </c>
      <c r="AJ542" s="141">
        <f t="shared" si="126"/>
        <v>0</v>
      </c>
      <c r="AK542" s="141">
        <v>0</v>
      </c>
      <c r="AL542" s="141">
        <f t="shared" si="127"/>
        <v>0</v>
      </c>
      <c r="AM542" s="141">
        <f t="shared" si="130"/>
        <v>0</v>
      </c>
    </row>
    <row r="543" spans="1:39" hidden="1" x14ac:dyDescent="0.25">
      <c r="A543" s="123" t="s">
        <v>300</v>
      </c>
      <c r="B543" s="132" t="s">
        <v>71</v>
      </c>
      <c r="C543" s="132" t="s">
        <v>127</v>
      </c>
      <c r="D543" s="132" t="s">
        <v>153</v>
      </c>
      <c r="E543" s="132" t="s">
        <v>185</v>
      </c>
      <c r="F543" s="132" t="s">
        <v>186</v>
      </c>
      <c r="G543" s="132" t="s">
        <v>76</v>
      </c>
      <c r="H543" s="132" t="s">
        <v>298</v>
      </c>
      <c r="I543" s="79" t="s">
        <v>78</v>
      </c>
      <c r="J543" s="79" t="s">
        <v>78</v>
      </c>
      <c r="K543" s="79" t="s">
        <v>3</v>
      </c>
      <c r="L543" s="132" t="s">
        <v>125</v>
      </c>
      <c r="M543" s="132"/>
      <c r="N543" s="132" t="s">
        <v>126</v>
      </c>
      <c r="O543" s="132" t="s">
        <v>94</v>
      </c>
      <c r="P543" s="140">
        <v>0.08</v>
      </c>
      <c r="Q543" s="134"/>
      <c r="R543" s="132"/>
      <c r="S543" s="141">
        <v>11055.15</v>
      </c>
      <c r="T543" s="141"/>
      <c r="U543" s="141">
        <v>0</v>
      </c>
      <c r="V543" s="136">
        <f t="shared" si="114"/>
        <v>11055.15</v>
      </c>
      <c r="W543" s="141">
        <f t="shared" si="128"/>
        <v>0</v>
      </c>
      <c r="X543" s="132"/>
      <c r="Y543" s="50">
        <f t="shared" si="123"/>
        <v>0</v>
      </c>
      <c r="Z543" s="50">
        <f t="shared" si="124"/>
        <v>0</v>
      </c>
      <c r="AA543" s="147">
        <f t="shared" si="125"/>
        <v>0</v>
      </c>
      <c r="AB543" s="136">
        <f t="shared" si="129"/>
        <v>0</v>
      </c>
      <c r="AC543" s="138">
        <v>0.05</v>
      </c>
      <c r="AD543" s="136">
        <f t="shared" si="119"/>
        <v>0</v>
      </c>
      <c r="AE543" s="136"/>
      <c r="AF543" s="132"/>
      <c r="AG543" s="140">
        <v>0.42</v>
      </c>
      <c r="AH543" s="141">
        <f t="shared" si="116"/>
        <v>0</v>
      </c>
      <c r="AI543" s="141">
        <v>0</v>
      </c>
      <c r="AJ543" s="141">
        <f t="shared" si="126"/>
        <v>0</v>
      </c>
      <c r="AK543" s="141">
        <v>0</v>
      </c>
      <c r="AL543" s="141">
        <f t="shared" si="127"/>
        <v>0</v>
      </c>
      <c r="AM543" s="141">
        <f t="shared" si="130"/>
        <v>0</v>
      </c>
    </row>
    <row r="544" spans="1:39" hidden="1" x14ac:dyDescent="0.25">
      <c r="A544" s="123" t="s">
        <v>300</v>
      </c>
      <c r="B544" s="132" t="s">
        <v>3</v>
      </c>
      <c r="C544" s="132" t="s">
        <v>100</v>
      </c>
      <c r="D544" s="132" t="s">
        <v>101</v>
      </c>
      <c r="E544" s="132" t="s">
        <v>121</v>
      </c>
      <c r="F544" s="132" t="s">
        <v>121</v>
      </c>
      <c r="G544" s="132" t="s">
        <v>121</v>
      </c>
      <c r="H544" s="132" t="s">
        <v>298</v>
      </c>
      <c r="I544" s="79" t="s">
        <v>78</v>
      </c>
      <c r="J544" s="79" t="s">
        <v>78</v>
      </c>
      <c r="K544" s="79" t="s">
        <v>3</v>
      </c>
      <c r="L544" s="132" t="s">
        <v>121</v>
      </c>
      <c r="M544" s="132"/>
      <c r="N544" s="132" t="s">
        <v>86</v>
      </c>
      <c r="O544" s="132" t="s">
        <v>94</v>
      </c>
      <c r="P544" s="140">
        <v>5.5E-2</v>
      </c>
      <c r="Q544" s="134"/>
      <c r="R544" s="132"/>
      <c r="S544" s="141">
        <v>141426.28</v>
      </c>
      <c r="T544" s="141"/>
      <c r="U544" s="141">
        <v>0</v>
      </c>
      <c r="V544" s="136">
        <f t="shared" si="114"/>
        <v>141426.28</v>
      </c>
      <c r="W544" s="141">
        <f t="shared" si="128"/>
        <v>0</v>
      </c>
      <c r="X544" s="132"/>
      <c r="Y544" s="50">
        <f t="shared" si="123"/>
        <v>0</v>
      </c>
      <c r="Z544" s="50">
        <f t="shared" si="124"/>
        <v>0</v>
      </c>
      <c r="AA544" s="147">
        <f t="shared" si="125"/>
        <v>0</v>
      </c>
      <c r="AB544" s="136">
        <f t="shared" si="129"/>
        <v>0</v>
      </c>
      <c r="AC544" s="138">
        <v>0.05</v>
      </c>
      <c r="AD544" s="136">
        <f t="shared" si="119"/>
        <v>0</v>
      </c>
      <c r="AE544" s="136"/>
      <c r="AF544" s="132"/>
      <c r="AG544" s="140">
        <v>0.14000000000000001</v>
      </c>
      <c r="AH544" s="141">
        <f t="shared" si="116"/>
        <v>0</v>
      </c>
      <c r="AI544" s="141">
        <v>-14388.29</v>
      </c>
      <c r="AJ544" s="141">
        <f t="shared" si="126"/>
        <v>0</v>
      </c>
      <c r="AK544" s="141">
        <v>0</v>
      </c>
      <c r="AL544" s="141">
        <f t="shared" si="127"/>
        <v>-14388.29</v>
      </c>
      <c r="AM544" s="141">
        <f t="shared" si="130"/>
        <v>0</v>
      </c>
    </row>
    <row r="545" spans="1:40" hidden="1" x14ac:dyDescent="0.25">
      <c r="A545" s="123" t="s">
        <v>300</v>
      </c>
      <c r="B545" s="132" t="s">
        <v>3</v>
      </c>
      <c r="C545" s="132" t="s">
        <v>90</v>
      </c>
      <c r="D545" s="132" t="s">
        <v>114</v>
      </c>
      <c r="E545" s="132" t="s">
        <v>115</v>
      </c>
      <c r="F545" s="132" t="s">
        <v>115</v>
      </c>
      <c r="G545" s="132" t="s">
        <v>115</v>
      </c>
      <c r="H545" s="132" t="s">
        <v>298</v>
      </c>
      <c r="I545" s="79" t="s">
        <v>78</v>
      </c>
      <c r="J545" s="79" t="s">
        <v>78</v>
      </c>
      <c r="K545" s="79" t="s">
        <v>3</v>
      </c>
      <c r="L545" s="132" t="s">
        <v>116</v>
      </c>
      <c r="M545" s="132"/>
      <c r="N545" s="132" t="s">
        <v>86</v>
      </c>
      <c r="O545" s="132" t="s">
        <v>94</v>
      </c>
      <c r="P545" s="140">
        <v>-0.15</v>
      </c>
      <c r="Q545" s="134"/>
      <c r="R545" s="132"/>
      <c r="S545" s="141">
        <v>205.52</v>
      </c>
      <c r="T545" s="141"/>
      <c r="U545" s="141">
        <v>0</v>
      </c>
      <c r="V545" s="136">
        <f t="shared" si="114"/>
        <v>205.52</v>
      </c>
      <c r="W545" s="141">
        <f t="shared" si="128"/>
        <v>0</v>
      </c>
      <c r="X545" s="132"/>
      <c r="Y545" s="50">
        <f t="shared" si="123"/>
        <v>0</v>
      </c>
      <c r="Z545" s="50">
        <f t="shared" si="124"/>
        <v>0</v>
      </c>
      <c r="AA545" s="147">
        <f t="shared" si="125"/>
        <v>0</v>
      </c>
      <c r="AB545" s="136">
        <f t="shared" si="129"/>
        <v>0</v>
      </c>
      <c r="AC545" s="138">
        <v>0.05</v>
      </c>
      <c r="AD545" s="136">
        <f t="shared" si="119"/>
        <v>0</v>
      </c>
      <c r="AE545" s="136"/>
      <c r="AF545" s="132"/>
      <c r="AG545" s="140">
        <v>0.26</v>
      </c>
      <c r="AH545" s="141">
        <f t="shared" si="116"/>
        <v>0</v>
      </c>
      <c r="AI545" s="141">
        <v>0</v>
      </c>
      <c r="AJ545" s="141">
        <f t="shared" si="126"/>
        <v>0</v>
      </c>
      <c r="AK545" s="141">
        <v>0</v>
      </c>
      <c r="AL545" s="141">
        <f t="shared" si="127"/>
        <v>0</v>
      </c>
      <c r="AM545" s="141">
        <f t="shared" si="130"/>
        <v>0</v>
      </c>
    </row>
    <row r="546" spans="1:40" hidden="1" x14ac:dyDescent="0.25">
      <c r="A546" s="123" t="s">
        <v>300</v>
      </c>
      <c r="B546" s="132" t="s">
        <v>3</v>
      </c>
      <c r="C546" s="132" t="s">
        <v>72</v>
      </c>
      <c r="D546" s="132" t="s">
        <v>187</v>
      </c>
      <c r="E546" s="132" t="s">
        <v>188</v>
      </c>
      <c r="F546" s="132" t="s">
        <v>188</v>
      </c>
      <c r="G546" s="132" t="s">
        <v>188</v>
      </c>
      <c r="H546" s="132" t="s">
        <v>298</v>
      </c>
      <c r="I546" s="79" t="s">
        <v>78</v>
      </c>
      <c r="J546" s="79" t="s">
        <v>78</v>
      </c>
      <c r="K546" s="79" t="s">
        <v>3</v>
      </c>
      <c r="L546" s="132" t="s">
        <v>188</v>
      </c>
      <c r="M546" s="132"/>
      <c r="N546" s="132" t="s">
        <v>126</v>
      </c>
      <c r="O546" s="132" t="s">
        <v>94</v>
      </c>
      <c r="P546" s="140">
        <v>0.05</v>
      </c>
      <c r="Q546" s="134"/>
      <c r="R546" s="132"/>
      <c r="S546" s="141">
        <v>15503.97</v>
      </c>
      <c r="T546" s="141"/>
      <c r="U546" s="141">
        <v>0</v>
      </c>
      <c r="V546" s="136">
        <f t="shared" si="114"/>
        <v>15503.97</v>
      </c>
      <c r="W546" s="141">
        <f t="shared" si="128"/>
        <v>0</v>
      </c>
      <c r="X546" s="132"/>
      <c r="Y546" s="50">
        <f t="shared" si="123"/>
        <v>0</v>
      </c>
      <c r="Z546" s="50">
        <f t="shared" si="124"/>
        <v>0</v>
      </c>
      <c r="AA546" s="147">
        <f t="shared" si="125"/>
        <v>0</v>
      </c>
      <c r="AB546" s="136">
        <f t="shared" si="129"/>
        <v>0</v>
      </c>
      <c r="AC546" s="138">
        <v>0.05</v>
      </c>
      <c r="AD546" s="136">
        <f t="shared" si="119"/>
        <v>0</v>
      </c>
      <c r="AE546" s="136"/>
      <c r="AF546" s="132"/>
      <c r="AG546" s="140">
        <v>0.36</v>
      </c>
      <c r="AH546" s="141">
        <f t="shared" si="116"/>
        <v>0</v>
      </c>
      <c r="AI546" s="141">
        <v>0</v>
      </c>
      <c r="AJ546" s="141">
        <f t="shared" si="126"/>
        <v>0</v>
      </c>
      <c r="AK546" s="141">
        <v>0</v>
      </c>
      <c r="AL546" s="141">
        <f t="shared" si="127"/>
        <v>0</v>
      </c>
      <c r="AM546" s="141">
        <f t="shared" si="130"/>
        <v>0</v>
      </c>
    </row>
    <row r="547" spans="1:40" hidden="1" x14ac:dyDescent="0.25">
      <c r="A547" s="123" t="s">
        <v>300</v>
      </c>
      <c r="B547" s="132" t="s">
        <v>3</v>
      </c>
      <c r="C547" s="132" t="s">
        <v>95</v>
      </c>
      <c r="D547" s="132" t="s">
        <v>96</v>
      </c>
      <c r="E547" s="132" t="s">
        <v>99</v>
      </c>
      <c r="F547" s="132" t="s">
        <v>99</v>
      </c>
      <c r="G547" s="132" t="s">
        <v>99</v>
      </c>
      <c r="H547" s="132" t="s">
        <v>298</v>
      </c>
      <c r="I547" s="79" t="s">
        <v>78</v>
      </c>
      <c r="J547" s="79" t="s">
        <v>78</v>
      </c>
      <c r="K547" s="79" t="s">
        <v>3</v>
      </c>
      <c r="L547" s="132" t="s">
        <v>98</v>
      </c>
      <c r="M547" s="132"/>
      <c r="N547" s="132" t="s">
        <v>86</v>
      </c>
      <c r="O547" s="132" t="s">
        <v>94</v>
      </c>
      <c r="P547" s="140">
        <v>0.03</v>
      </c>
      <c r="Q547" s="134"/>
      <c r="R547" s="132"/>
      <c r="S547" s="141">
        <v>5695.56</v>
      </c>
      <c r="T547" s="141"/>
      <c r="U547" s="141">
        <v>0</v>
      </c>
      <c r="V547" s="136">
        <f t="shared" si="114"/>
        <v>5695.56</v>
      </c>
      <c r="W547" s="141">
        <f t="shared" si="128"/>
        <v>0</v>
      </c>
      <c r="X547" s="132"/>
      <c r="Y547" s="50">
        <f t="shared" si="123"/>
        <v>0</v>
      </c>
      <c r="Z547" s="50">
        <f t="shared" si="124"/>
        <v>0</v>
      </c>
      <c r="AA547" s="147">
        <f t="shared" si="125"/>
        <v>0</v>
      </c>
      <c r="AB547" s="136">
        <f t="shared" si="129"/>
        <v>0</v>
      </c>
      <c r="AC547" s="138">
        <v>0.05</v>
      </c>
      <c r="AD547" s="136">
        <f t="shared" si="119"/>
        <v>0</v>
      </c>
      <c r="AE547" s="136"/>
      <c r="AF547" s="132"/>
      <c r="AG547" s="140">
        <v>0</v>
      </c>
      <c r="AH547" s="141">
        <f t="shared" si="116"/>
        <v>0</v>
      </c>
      <c r="AI547" s="141">
        <v>0</v>
      </c>
      <c r="AJ547" s="141">
        <f t="shared" si="126"/>
        <v>0</v>
      </c>
      <c r="AK547" s="141">
        <v>0</v>
      </c>
      <c r="AL547" s="141">
        <f t="shared" si="127"/>
        <v>0</v>
      </c>
      <c r="AM547" s="141">
        <f t="shared" si="130"/>
        <v>0</v>
      </c>
    </row>
    <row r="548" spans="1:40" hidden="1" x14ac:dyDescent="0.25">
      <c r="A548" s="123" t="s">
        <v>300</v>
      </c>
      <c r="B548" s="132" t="s">
        <v>3</v>
      </c>
      <c r="C548" s="132" t="s">
        <v>95</v>
      </c>
      <c r="D548" s="132" t="s">
        <v>96</v>
      </c>
      <c r="E548" s="132" t="s">
        <v>191</v>
      </c>
      <c r="F548" s="132" t="s">
        <v>191</v>
      </c>
      <c r="G548" s="132" t="s">
        <v>191</v>
      </c>
      <c r="H548" s="132" t="s">
        <v>298</v>
      </c>
      <c r="I548" s="79" t="s">
        <v>78</v>
      </c>
      <c r="J548" s="79" t="s">
        <v>78</v>
      </c>
      <c r="K548" s="79" t="s">
        <v>3</v>
      </c>
      <c r="L548" s="132" t="s">
        <v>192</v>
      </c>
      <c r="M548" s="132"/>
      <c r="N548" s="132" t="s">
        <v>86</v>
      </c>
      <c r="O548" s="132" t="s">
        <v>81</v>
      </c>
      <c r="P548" s="140">
        <v>0</v>
      </c>
      <c r="Q548" s="134"/>
      <c r="R548" s="132"/>
      <c r="S548" s="141">
        <v>-41528.239999999998</v>
      </c>
      <c r="T548" s="141"/>
      <c r="U548" s="141">
        <v>1351.35</v>
      </c>
      <c r="V548" s="136">
        <f t="shared" si="114"/>
        <v>-42879.59</v>
      </c>
      <c r="W548" s="141">
        <f t="shared" si="128"/>
        <v>1351.35</v>
      </c>
      <c r="X548" s="132"/>
      <c r="Y548" s="50">
        <f t="shared" si="123"/>
        <v>0</v>
      </c>
      <c r="Z548" s="50">
        <f t="shared" si="124"/>
        <v>1351.3513513513512</v>
      </c>
      <c r="AA548" s="147">
        <f t="shared" si="125"/>
        <v>0</v>
      </c>
      <c r="AB548" s="136">
        <f t="shared" si="129"/>
        <v>1351.35</v>
      </c>
      <c r="AC548" s="138">
        <v>0.05</v>
      </c>
      <c r="AD548" s="136">
        <f t="shared" si="119"/>
        <v>67.567499999999995</v>
      </c>
      <c r="AE548" s="136"/>
      <c r="AF548" s="132"/>
      <c r="AG548" s="140">
        <v>0.11</v>
      </c>
      <c r="AH548" s="141">
        <f t="shared" si="116"/>
        <v>1351.3513513513512</v>
      </c>
      <c r="AI548" s="141">
        <v>-5269.9299999999903</v>
      </c>
      <c r="AJ548" s="141">
        <f t="shared" si="126"/>
        <v>0</v>
      </c>
      <c r="AK548" s="141">
        <v>1500</v>
      </c>
      <c r="AL548" s="141">
        <f t="shared" si="127"/>
        <v>-5418.5799999999908</v>
      </c>
      <c r="AM548" s="141">
        <f t="shared" si="130"/>
        <v>1351.3513513513512</v>
      </c>
      <c r="AN548" s="99">
        <f>AM548-W548</f>
        <v>1.3513513513316866E-3</v>
      </c>
    </row>
    <row r="549" spans="1:40" hidden="1" x14ac:dyDescent="0.25">
      <c r="A549" s="123" t="s">
        <v>300</v>
      </c>
      <c r="B549" s="132" t="s">
        <v>3</v>
      </c>
      <c r="C549" s="132" t="s">
        <v>81</v>
      </c>
      <c r="D549" s="132" t="s">
        <v>81</v>
      </c>
      <c r="E549" s="132" t="s">
        <v>108</v>
      </c>
      <c r="F549" s="132" t="s">
        <v>108</v>
      </c>
      <c r="G549" s="132" t="s">
        <v>108</v>
      </c>
      <c r="H549" s="132" t="s">
        <v>298</v>
      </c>
      <c r="I549" s="79" t="s">
        <v>78</v>
      </c>
      <c r="J549" s="79" t="s">
        <v>78</v>
      </c>
      <c r="K549" s="79" t="s">
        <v>3</v>
      </c>
      <c r="L549" s="132" t="s">
        <v>108</v>
      </c>
      <c r="M549" s="132"/>
      <c r="N549" s="132" t="s">
        <v>86</v>
      </c>
      <c r="O549" s="132" t="s">
        <v>81</v>
      </c>
      <c r="P549" s="140">
        <v>0</v>
      </c>
      <c r="Q549" s="134"/>
      <c r="R549" s="132"/>
      <c r="S549" s="141">
        <v>16267.43</v>
      </c>
      <c r="T549" s="141"/>
      <c r="U549" s="141">
        <v>82.34</v>
      </c>
      <c r="V549" s="136">
        <f t="shared" si="114"/>
        <v>16185.09</v>
      </c>
      <c r="W549" s="141">
        <f t="shared" si="128"/>
        <v>82.34</v>
      </c>
      <c r="X549" s="132"/>
      <c r="Y549" s="50">
        <f t="shared" si="123"/>
        <v>0</v>
      </c>
      <c r="Z549" s="50">
        <f t="shared" si="124"/>
        <v>57.985915492957751</v>
      </c>
      <c r="AA549" s="147">
        <f t="shared" si="125"/>
        <v>0</v>
      </c>
      <c r="AB549" s="136">
        <f t="shared" si="129"/>
        <v>82.34</v>
      </c>
      <c r="AC549" s="138">
        <v>0.05</v>
      </c>
      <c r="AD549" s="136">
        <f t="shared" si="119"/>
        <v>4.117</v>
      </c>
      <c r="AE549" s="136"/>
      <c r="AF549" s="132"/>
      <c r="AG549" s="140">
        <v>0.42</v>
      </c>
      <c r="AH549" s="141">
        <f t="shared" si="116"/>
        <v>57.985915492957751</v>
      </c>
      <c r="AI549" s="141">
        <v>0</v>
      </c>
      <c r="AJ549" s="141">
        <f t="shared" si="126"/>
        <v>0</v>
      </c>
      <c r="AK549" s="141">
        <v>82.34</v>
      </c>
      <c r="AL549" s="141">
        <f t="shared" si="127"/>
        <v>0</v>
      </c>
      <c r="AM549" s="141">
        <f t="shared" si="130"/>
        <v>57.985915492957751</v>
      </c>
      <c r="AN549" s="99">
        <f>AM549-W549</f>
        <v>-24.354084507042252</v>
      </c>
    </row>
    <row r="550" spans="1:40" hidden="1" x14ac:dyDescent="0.25">
      <c r="A550" s="123" t="s">
        <v>300</v>
      </c>
      <c r="B550" s="132" t="s">
        <v>3</v>
      </c>
      <c r="C550" s="132" t="s">
        <v>193</v>
      </c>
      <c r="D550" s="132" t="s">
        <v>194</v>
      </c>
      <c r="E550" s="132" t="s">
        <v>261</v>
      </c>
      <c r="F550" s="132" t="s">
        <v>262</v>
      </c>
      <c r="G550" s="132" t="s">
        <v>261</v>
      </c>
      <c r="H550" s="132" t="s">
        <v>298</v>
      </c>
      <c r="I550" s="79" t="s">
        <v>78</v>
      </c>
      <c r="J550" s="79" t="s">
        <v>78</v>
      </c>
      <c r="K550" s="79" t="s">
        <v>3</v>
      </c>
      <c r="L550" s="132" t="s">
        <v>263</v>
      </c>
      <c r="M550" s="132"/>
      <c r="N550" s="132" t="s">
        <v>86</v>
      </c>
      <c r="O550" s="132" t="s">
        <v>81</v>
      </c>
      <c r="P550" s="140">
        <v>0</v>
      </c>
      <c r="Q550" s="134"/>
      <c r="R550" s="132"/>
      <c r="S550" s="141">
        <v>-25.54</v>
      </c>
      <c r="T550" s="141"/>
      <c r="U550" s="141">
        <v>0</v>
      </c>
      <c r="V550" s="136">
        <f t="shared" si="114"/>
        <v>-25.54</v>
      </c>
      <c r="W550" s="141">
        <f t="shared" si="128"/>
        <v>0</v>
      </c>
      <c r="X550" s="132"/>
      <c r="Y550" s="50">
        <f t="shared" si="123"/>
        <v>0</v>
      </c>
      <c r="Z550" s="50">
        <f t="shared" si="124"/>
        <v>0</v>
      </c>
      <c r="AA550" s="147">
        <f t="shared" si="125"/>
        <v>0</v>
      </c>
      <c r="AB550" s="136">
        <f t="shared" si="129"/>
        <v>0</v>
      </c>
      <c r="AC550" s="138">
        <v>0.05</v>
      </c>
      <c r="AD550" s="136">
        <f t="shared" si="119"/>
        <v>0</v>
      </c>
      <c r="AE550" s="136"/>
      <c r="AF550" s="132"/>
      <c r="AG550" s="140">
        <v>0</v>
      </c>
      <c r="AH550" s="141">
        <f t="shared" si="116"/>
        <v>0</v>
      </c>
      <c r="AI550" s="141">
        <v>45.03</v>
      </c>
      <c r="AJ550" s="141">
        <f t="shared" si="126"/>
        <v>0</v>
      </c>
      <c r="AK550" s="141">
        <v>0</v>
      </c>
      <c r="AL550" s="141">
        <f t="shared" si="127"/>
        <v>45.03</v>
      </c>
      <c r="AM550" s="141">
        <f t="shared" si="130"/>
        <v>0</v>
      </c>
      <c r="AN550" s="99">
        <f>AM550-W550</f>
        <v>0</v>
      </c>
    </row>
    <row r="551" spans="1:40" hidden="1" x14ac:dyDescent="0.25">
      <c r="A551" s="123" t="s">
        <v>300</v>
      </c>
      <c r="B551" s="132" t="s">
        <v>71</v>
      </c>
      <c r="C551" s="132" t="s">
        <v>127</v>
      </c>
      <c r="D551" s="132" t="s">
        <v>153</v>
      </c>
      <c r="E551" s="132" t="s">
        <v>266</v>
      </c>
      <c r="F551" s="132" t="s">
        <v>267</v>
      </c>
      <c r="G551" s="132" t="s">
        <v>76</v>
      </c>
      <c r="H551" s="132" t="s">
        <v>298</v>
      </c>
      <c r="I551" s="79" t="s">
        <v>78</v>
      </c>
      <c r="J551" s="79" t="s">
        <v>78</v>
      </c>
      <c r="K551" s="79" t="s">
        <v>3</v>
      </c>
      <c r="L551" s="132" t="s">
        <v>125</v>
      </c>
      <c r="M551" s="132"/>
      <c r="N551" s="132" t="s">
        <v>126</v>
      </c>
      <c r="O551" s="132" t="s">
        <v>94</v>
      </c>
      <c r="P551" s="140">
        <v>0.13</v>
      </c>
      <c r="Q551" s="134"/>
      <c r="R551" s="132"/>
      <c r="S551" s="141">
        <v>20.729999999996402</v>
      </c>
      <c r="T551" s="141"/>
      <c r="U551" s="141">
        <v>0</v>
      </c>
      <c r="V551" s="136">
        <f t="shared" si="114"/>
        <v>20.729999999996402</v>
      </c>
      <c r="W551" s="141">
        <f t="shared" si="128"/>
        <v>0</v>
      </c>
      <c r="X551" s="132"/>
      <c r="Y551" s="50">
        <f t="shared" si="123"/>
        <v>0</v>
      </c>
      <c r="Z551" s="50">
        <f t="shared" si="124"/>
        <v>0</v>
      </c>
      <c r="AA551" s="147">
        <f t="shared" si="125"/>
        <v>0</v>
      </c>
      <c r="AB551" s="136">
        <f t="shared" si="129"/>
        <v>0</v>
      </c>
      <c r="AC551" s="138">
        <v>0.05</v>
      </c>
      <c r="AD551" s="136">
        <f t="shared" si="119"/>
        <v>0</v>
      </c>
      <c r="AE551" s="136"/>
      <c r="AF551" s="132"/>
      <c r="AG551" s="140">
        <v>0.42</v>
      </c>
      <c r="AH551" s="141">
        <f t="shared" si="116"/>
        <v>0</v>
      </c>
      <c r="AI551" s="141">
        <v>0</v>
      </c>
      <c r="AJ551" s="141">
        <f t="shared" si="126"/>
        <v>0</v>
      </c>
      <c r="AK551" s="141">
        <v>0</v>
      </c>
      <c r="AL551" s="141">
        <f t="shared" si="127"/>
        <v>0</v>
      </c>
      <c r="AM551" s="141">
        <f t="shared" si="130"/>
        <v>0</v>
      </c>
    </row>
    <row r="552" spans="1:40" hidden="1" x14ac:dyDescent="0.25">
      <c r="A552" s="123" t="s">
        <v>300</v>
      </c>
      <c r="B552" s="132" t="s">
        <v>71</v>
      </c>
      <c r="C552" s="132" t="s">
        <v>127</v>
      </c>
      <c r="D552" s="132" t="s">
        <v>128</v>
      </c>
      <c r="E552" s="132" t="s">
        <v>268</v>
      </c>
      <c r="F552" s="132" t="s">
        <v>269</v>
      </c>
      <c r="G552" s="132" t="s">
        <v>76</v>
      </c>
      <c r="H552" s="132" t="s">
        <v>298</v>
      </c>
      <c r="I552" s="79" t="s">
        <v>78</v>
      </c>
      <c r="J552" s="79" t="s">
        <v>78</v>
      </c>
      <c r="K552" s="79" t="s">
        <v>3</v>
      </c>
      <c r="L552" s="132" t="s">
        <v>125</v>
      </c>
      <c r="M552" s="132"/>
      <c r="N552" s="132" t="s">
        <v>126</v>
      </c>
      <c r="O552" s="132" t="s">
        <v>94</v>
      </c>
      <c r="P552" s="140">
        <v>0.03</v>
      </c>
      <c r="Q552" s="134"/>
      <c r="R552" s="132"/>
      <c r="S552" s="141">
        <v>22.61</v>
      </c>
      <c r="T552" s="141"/>
      <c r="U552" s="141">
        <v>0</v>
      </c>
      <c r="V552" s="136">
        <f t="shared" si="114"/>
        <v>22.61</v>
      </c>
      <c r="W552" s="141">
        <f t="shared" si="128"/>
        <v>0</v>
      </c>
      <c r="X552" s="132"/>
      <c r="Y552" s="50">
        <f t="shared" si="123"/>
        <v>0</v>
      </c>
      <c r="Z552" s="50">
        <f t="shared" si="124"/>
        <v>0</v>
      </c>
      <c r="AA552" s="147">
        <f t="shared" si="125"/>
        <v>0</v>
      </c>
      <c r="AB552" s="136">
        <f t="shared" si="129"/>
        <v>0</v>
      </c>
      <c r="AC552" s="138">
        <v>0.05</v>
      </c>
      <c r="AD552" s="136">
        <f t="shared" si="119"/>
        <v>0</v>
      </c>
      <c r="AE552" s="136"/>
      <c r="AF552" s="132"/>
      <c r="AG552" s="140">
        <v>0.42</v>
      </c>
      <c r="AH552" s="141">
        <f t="shared" si="116"/>
        <v>0</v>
      </c>
      <c r="AI552" s="141">
        <v>0</v>
      </c>
      <c r="AJ552" s="141">
        <f t="shared" si="126"/>
        <v>0</v>
      </c>
      <c r="AK552" s="141">
        <v>0</v>
      </c>
      <c r="AL552" s="141">
        <f t="shared" si="127"/>
        <v>0</v>
      </c>
      <c r="AM552" s="141">
        <f t="shared" si="130"/>
        <v>0</v>
      </c>
    </row>
    <row r="553" spans="1:40" hidden="1" x14ac:dyDescent="0.25">
      <c r="A553" s="123" t="s">
        <v>300</v>
      </c>
      <c r="B553" s="132" t="s">
        <v>71</v>
      </c>
      <c r="C553" s="132" t="s">
        <v>127</v>
      </c>
      <c r="D553" s="132" t="s">
        <v>128</v>
      </c>
      <c r="E553" s="132" t="s">
        <v>270</v>
      </c>
      <c r="F553" s="132" t="s">
        <v>271</v>
      </c>
      <c r="G553" s="132" t="s">
        <v>76</v>
      </c>
      <c r="H553" s="132" t="s">
        <v>298</v>
      </c>
      <c r="I553" s="79" t="s">
        <v>78</v>
      </c>
      <c r="J553" s="79" t="s">
        <v>78</v>
      </c>
      <c r="K553" s="79" t="s">
        <v>3</v>
      </c>
      <c r="L553" s="132" t="s">
        <v>125</v>
      </c>
      <c r="M553" s="132"/>
      <c r="N553" s="132" t="s">
        <v>126</v>
      </c>
      <c r="O553" s="132" t="s">
        <v>94</v>
      </c>
      <c r="P553" s="140">
        <v>0.13</v>
      </c>
      <c r="Q553" s="134"/>
      <c r="R553" s="132"/>
      <c r="S553" s="141">
        <v>29.53</v>
      </c>
      <c r="T553" s="141"/>
      <c r="U553" s="141">
        <v>0</v>
      </c>
      <c r="V553" s="136">
        <f t="shared" si="114"/>
        <v>29.53</v>
      </c>
      <c r="W553" s="141">
        <f t="shared" si="128"/>
        <v>0</v>
      </c>
      <c r="X553" s="132"/>
      <c r="Y553" s="50">
        <f t="shared" si="123"/>
        <v>0</v>
      </c>
      <c r="Z553" s="50">
        <f t="shared" si="124"/>
        <v>0</v>
      </c>
      <c r="AA553" s="147">
        <f t="shared" si="125"/>
        <v>0</v>
      </c>
      <c r="AB553" s="136">
        <f t="shared" si="129"/>
        <v>0</v>
      </c>
      <c r="AC553" s="138">
        <v>0.05</v>
      </c>
      <c r="AD553" s="136">
        <f t="shared" si="119"/>
        <v>0</v>
      </c>
      <c r="AE553" s="136"/>
      <c r="AF553" s="132"/>
      <c r="AG553" s="140">
        <v>0.42</v>
      </c>
      <c r="AH553" s="141">
        <f t="shared" si="116"/>
        <v>0</v>
      </c>
      <c r="AI553" s="141">
        <v>0</v>
      </c>
      <c r="AJ553" s="141">
        <f t="shared" si="126"/>
        <v>0</v>
      </c>
      <c r="AK553" s="141">
        <v>0</v>
      </c>
      <c r="AL553" s="141">
        <f t="shared" si="127"/>
        <v>0</v>
      </c>
      <c r="AM553" s="141">
        <f t="shared" si="130"/>
        <v>0</v>
      </c>
    </row>
    <row r="554" spans="1:40" hidden="1" x14ac:dyDescent="0.25">
      <c r="A554" s="123" t="s">
        <v>300</v>
      </c>
      <c r="B554" s="132" t="s">
        <v>71</v>
      </c>
      <c r="C554" s="132" t="s">
        <v>127</v>
      </c>
      <c r="D554" s="132" t="s">
        <v>128</v>
      </c>
      <c r="E554" s="132" t="s">
        <v>272</v>
      </c>
      <c r="F554" s="132" t="s">
        <v>273</v>
      </c>
      <c r="G554" s="132" t="s">
        <v>76</v>
      </c>
      <c r="H554" s="132" t="s">
        <v>298</v>
      </c>
      <c r="I554" s="79" t="s">
        <v>78</v>
      </c>
      <c r="J554" s="79" t="s">
        <v>78</v>
      </c>
      <c r="K554" s="79" t="s">
        <v>3</v>
      </c>
      <c r="L554" s="132" t="s">
        <v>125</v>
      </c>
      <c r="M554" s="132"/>
      <c r="N554" s="132" t="s">
        <v>126</v>
      </c>
      <c r="O554" s="132" t="s">
        <v>94</v>
      </c>
      <c r="P554" s="140">
        <v>0.21</v>
      </c>
      <c r="Q554" s="134"/>
      <c r="R554" s="132"/>
      <c r="S554" s="141">
        <v>1.90619718309881</v>
      </c>
      <c r="T554" s="141"/>
      <c r="U554" s="141">
        <v>0</v>
      </c>
      <c r="V554" s="136">
        <f t="shared" si="114"/>
        <v>1.90619718309881</v>
      </c>
      <c r="W554" s="141">
        <f t="shared" si="128"/>
        <v>0</v>
      </c>
      <c r="X554" s="132"/>
      <c r="Y554" s="50">
        <f t="shared" si="123"/>
        <v>0</v>
      </c>
      <c r="Z554" s="50">
        <f t="shared" si="124"/>
        <v>0</v>
      </c>
      <c r="AA554" s="147">
        <f t="shared" si="125"/>
        <v>0</v>
      </c>
      <c r="AB554" s="136">
        <f t="shared" si="129"/>
        <v>0</v>
      </c>
      <c r="AC554" s="138">
        <v>0.05</v>
      </c>
      <c r="AD554" s="136">
        <f t="shared" si="119"/>
        <v>0</v>
      </c>
      <c r="AE554" s="136"/>
      <c r="AF554" s="132"/>
      <c r="AG554" s="140">
        <v>0.42</v>
      </c>
      <c r="AH554" s="141">
        <f t="shared" si="116"/>
        <v>0</v>
      </c>
      <c r="AI554" s="141">
        <v>0</v>
      </c>
      <c r="AJ554" s="141">
        <f t="shared" si="126"/>
        <v>0</v>
      </c>
      <c r="AK554" s="141">
        <v>0</v>
      </c>
      <c r="AL554" s="141">
        <f t="shared" si="127"/>
        <v>0</v>
      </c>
      <c r="AM554" s="141">
        <f t="shared" si="130"/>
        <v>0</v>
      </c>
    </row>
    <row r="555" spans="1:40" hidden="1" x14ac:dyDescent="0.25">
      <c r="A555" s="123" t="s">
        <v>300</v>
      </c>
      <c r="B555" s="132" t="s">
        <v>71</v>
      </c>
      <c r="C555" s="132" t="s">
        <v>127</v>
      </c>
      <c r="D555" s="132" t="s">
        <v>128</v>
      </c>
      <c r="E555" s="132" t="s">
        <v>274</v>
      </c>
      <c r="F555" s="132" t="s">
        <v>275</v>
      </c>
      <c r="G555" s="132" t="s">
        <v>76</v>
      </c>
      <c r="H555" s="132" t="s">
        <v>298</v>
      </c>
      <c r="I555" s="79" t="s">
        <v>78</v>
      </c>
      <c r="J555" s="79" t="s">
        <v>78</v>
      </c>
      <c r="K555" s="79" t="s">
        <v>3</v>
      </c>
      <c r="L555" s="132" t="s">
        <v>125</v>
      </c>
      <c r="M555" s="132"/>
      <c r="N555" s="132" t="s">
        <v>126</v>
      </c>
      <c r="O555" s="132" t="s">
        <v>94</v>
      </c>
      <c r="P555" s="140">
        <v>0.03</v>
      </c>
      <c r="Q555" s="134"/>
      <c r="R555" s="132"/>
      <c r="S555" s="141">
        <v>62.533943663001999</v>
      </c>
      <c r="T555" s="141"/>
      <c r="U555" s="141">
        <v>0</v>
      </c>
      <c r="V555" s="136">
        <f t="shared" si="114"/>
        <v>62.533943663001999</v>
      </c>
      <c r="W555" s="141">
        <f t="shared" si="128"/>
        <v>0</v>
      </c>
      <c r="X555" s="132"/>
      <c r="Y555" s="50">
        <f t="shared" si="123"/>
        <v>0</v>
      </c>
      <c r="Z555" s="50">
        <f t="shared" si="124"/>
        <v>0</v>
      </c>
      <c r="AA555" s="147">
        <f t="shared" si="125"/>
        <v>0</v>
      </c>
      <c r="AB555" s="136">
        <f t="shared" si="129"/>
        <v>0</v>
      </c>
      <c r="AC555" s="138">
        <v>0.05</v>
      </c>
      <c r="AD555" s="136">
        <f t="shared" si="119"/>
        <v>0</v>
      </c>
      <c r="AE555" s="136"/>
      <c r="AF555" s="132"/>
      <c r="AG555" s="140">
        <v>0.42</v>
      </c>
      <c r="AH555" s="141">
        <f t="shared" si="116"/>
        <v>0</v>
      </c>
      <c r="AI555" s="141">
        <v>0</v>
      </c>
      <c r="AJ555" s="141">
        <f t="shared" si="126"/>
        <v>0</v>
      </c>
      <c r="AK555" s="141">
        <v>0</v>
      </c>
      <c r="AL555" s="141">
        <f t="shared" si="127"/>
        <v>0</v>
      </c>
      <c r="AM555" s="141">
        <f t="shared" si="130"/>
        <v>0</v>
      </c>
    </row>
    <row r="556" spans="1:40" hidden="1" x14ac:dyDescent="0.25">
      <c r="A556" s="123" t="s">
        <v>300</v>
      </c>
      <c r="B556" s="132" t="s">
        <v>71</v>
      </c>
      <c r="C556" s="132" t="s">
        <v>193</v>
      </c>
      <c r="D556" s="132" t="s">
        <v>194</v>
      </c>
      <c r="E556" s="132" t="s">
        <v>291</v>
      </c>
      <c r="F556" s="132" t="s">
        <v>292</v>
      </c>
      <c r="G556" s="132" t="s">
        <v>76</v>
      </c>
      <c r="H556" s="132" t="s">
        <v>298</v>
      </c>
      <c r="I556" s="79" t="s">
        <v>78</v>
      </c>
      <c r="J556" s="79" t="s">
        <v>78</v>
      </c>
      <c r="K556" s="79" t="s">
        <v>3</v>
      </c>
      <c r="L556" s="132" t="s">
        <v>291</v>
      </c>
      <c r="M556" s="132"/>
      <c r="N556" s="132" t="s">
        <v>80</v>
      </c>
      <c r="O556" s="132" t="s">
        <v>81</v>
      </c>
      <c r="P556" s="140">
        <v>0</v>
      </c>
      <c r="Q556" s="134"/>
      <c r="R556" s="132"/>
      <c r="S556" s="141">
        <v>21002.44</v>
      </c>
      <c r="T556" s="141"/>
      <c r="U556" s="141">
        <v>0</v>
      </c>
      <c r="V556" s="136">
        <f t="shared" si="114"/>
        <v>21002.44</v>
      </c>
      <c r="W556" s="141">
        <f t="shared" si="128"/>
        <v>0</v>
      </c>
      <c r="X556" s="132"/>
      <c r="Y556" s="50">
        <f t="shared" si="123"/>
        <v>0</v>
      </c>
      <c r="Z556" s="50">
        <f t="shared" si="124"/>
        <v>0</v>
      </c>
      <c r="AA556" s="147">
        <f t="shared" si="125"/>
        <v>0</v>
      </c>
      <c r="AB556" s="136">
        <f t="shared" si="129"/>
        <v>0</v>
      </c>
      <c r="AC556" s="138">
        <v>0.05</v>
      </c>
      <c r="AD556" s="136">
        <f t="shared" si="119"/>
        <v>0</v>
      </c>
      <c r="AE556" s="136"/>
      <c r="AF556" s="132"/>
      <c r="AG556" s="140">
        <v>0</v>
      </c>
      <c r="AH556" s="141">
        <f t="shared" si="116"/>
        <v>0</v>
      </c>
      <c r="AI556" s="141">
        <v>0</v>
      </c>
      <c r="AJ556" s="141">
        <f t="shared" si="126"/>
        <v>0</v>
      </c>
      <c r="AK556" s="141">
        <v>0</v>
      </c>
      <c r="AL556" s="141">
        <f t="shared" si="127"/>
        <v>0</v>
      </c>
      <c r="AM556" s="141">
        <f t="shared" si="130"/>
        <v>0</v>
      </c>
    </row>
    <row r="557" spans="1:40" hidden="1" x14ac:dyDescent="0.25">
      <c r="A557" s="123" t="s">
        <v>300</v>
      </c>
      <c r="B557" s="132" t="s">
        <v>3</v>
      </c>
      <c r="C557" s="132" t="s">
        <v>72</v>
      </c>
      <c r="D557" s="132" t="s">
        <v>187</v>
      </c>
      <c r="E557" s="132" t="s">
        <v>188</v>
      </c>
      <c r="F557" s="132" t="s">
        <v>188</v>
      </c>
      <c r="G557" s="132" t="s">
        <v>188</v>
      </c>
      <c r="H557" s="132" t="s">
        <v>298</v>
      </c>
      <c r="I557" s="79" t="s">
        <v>78</v>
      </c>
      <c r="J557" s="79" t="s">
        <v>78</v>
      </c>
      <c r="K557" s="79" t="s">
        <v>3</v>
      </c>
      <c r="L557" s="132" t="s">
        <v>188</v>
      </c>
      <c r="M557" s="132"/>
      <c r="N557" s="132" t="s">
        <v>86</v>
      </c>
      <c r="O557" s="132" t="s">
        <v>94</v>
      </c>
      <c r="P557" s="140">
        <v>0.05</v>
      </c>
      <c r="Q557" s="134"/>
      <c r="R557" s="132"/>
      <c r="S557" s="141">
        <v>-7.31</v>
      </c>
      <c r="T557" s="141"/>
      <c r="U557" s="141">
        <v>0</v>
      </c>
      <c r="V557" s="136">
        <f t="shared" si="114"/>
        <v>-7.31</v>
      </c>
      <c r="W557" s="141">
        <f t="shared" si="128"/>
        <v>0</v>
      </c>
      <c r="X557" s="132"/>
      <c r="Y557" s="50">
        <f t="shared" si="123"/>
        <v>0</v>
      </c>
      <c r="Z557" s="50">
        <f t="shared" si="124"/>
        <v>0</v>
      </c>
      <c r="AA557" s="147">
        <f t="shared" si="125"/>
        <v>0</v>
      </c>
      <c r="AB557" s="136">
        <f t="shared" si="129"/>
        <v>0</v>
      </c>
      <c r="AC557" s="138">
        <v>0.05</v>
      </c>
      <c r="AD557" s="136">
        <f t="shared" si="119"/>
        <v>0</v>
      </c>
      <c r="AE557" s="136"/>
      <c r="AF557" s="132"/>
      <c r="AG557" s="140">
        <v>0.36</v>
      </c>
      <c r="AH557" s="141">
        <f t="shared" si="116"/>
        <v>0</v>
      </c>
      <c r="AI557" s="141">
        <v>-8.24</v>
      </c>
      <c r="AJ557" s="141">
        <f t="shared" si="126"/>
        <v>0</v>
      </c>
      <c r="AK557" s="141">
        <v>0</v>
      </c>
      <c r="AL557" s="141">
        <f t="shared" si="127"/>
        <v>-8.24</v>
      </c>
      <c r="AM557" s="141">
        <f t="shared" si="130"/>
        <v>0</v>
      </c>
      <c r="AN557" s="99">
        <f>AM557-W557</f>
        <v>0</v>
      </c>
    </row>
    <row r="558" spans="1:40" hidden="1" x14ac:dyDescent="0.25">
      <c r="A558" s="123" t="s">
        <v>300</v>
      </c>
      <c r="B558" s="132" t="s">
        <v>3</v>
      </c>
      <c r="C558" s="132" t="s">
        <v>95</v>
      </c>
      <c r="D558" s="132" t="s">
        <v>96</v>
      </c>
      <c r="E558" s="132" t="s">
        <v>191</v>
      </c>
      <c r="F558" s="132" t="s">
        <v>191</v>
      </c>
      <c r="G558" s="132" t="s">
        <v>191</v>
      </c>
      <c r="H558" s="132" t="s">
        <v>298</v>
      </c>
      <c r="I558" s="79" t="s">
        <v>78</v>
      </c>
      <c r="J558" s="79" t="s">
        <v>78</v>
      </c>
      <c r="K558" s="79" t="s">
        <v>3</v>
      </c>
      <c r="L558" s="132" t="s">
        <v>192</v>
      </c>
      <c r="M558" s="132"/>
      <c r="N558" s="132" t="s">
        <v>126</v>
      </c>
      <c r="O558" s="132" t="s">
        <v>94</v>
      </c>
      <c r="P558" s="140">
        <v>0.03</v>
      </c>
      <c r="Q558" s="134"/>
      <c r="R558" s="132"/>
      <c r="S558" s="141">
        <v>-2225.85</v>
      </c>
      <c r="T558" s="141"/>
      <c r="U558" s="141">
        <v>0</v>
      </c>
      <c r="V558" s="136">
        <f t="shared" si="114"/>
        <v>-2225.85</v>
      </c>
      <c r="W558" s="141">
        <f t="shared" si="128"/>
        <v>0</v>
      </c>
      <c r="X558" s="132"/>
      <c r="Y558" s="50">
        <f t="shared" si="123"/>
        <v>0</v>
      </c>
      <c r="Z558" s="50">
        <f t="shared" si="124"/>
        <v>0</v>
      </c>
      <c r="AA558" s="147">
        <f t="shared" si="125"/>
        <v>0</v>
      </c>
      <c r="AB558" s="136">
        <f t="shared" si="129"/>
        <v>0</v>
      </c>
      <c r="AC558" s="138">
        <v>0.05</v>
      </c>
      <c r="AD558" s="136">
        <f t="shared" si="119"/>
        <v>0</v>
      </c>
      <c r="AE558" s="136"/>
      <c r="AF558" s="132"/>
      <c r="AG558" s="140">
        <v>0</v>
      </c>
      <c r="AH558" s="141">
        <f t="shared" si="116"/>
        <v>0</v>
      </c>
      <c r="AI558" s="141">
        <v>-801.28</v>
      </c>
      <c r="AJ558" s="141">
        <f t="shared" si="126"/>
        <v>0</v>
      </c>
      <c r="AK558" s="141">
        <v>0</v>
      </c>
      <c r="AL558" s="141">
        <f t="shared" si="127"/>
        <v>-801.28</v>
      </c>
      <c r="AM558" s="141">
        <f t="shared" si="130"/>
        <v>0</v>
      </c>
      <c r="AN558" s="99">
        <f>AM558-W558</f>
        <v>0</v>
      </c>
    </row>
    <row r="559" spans="1:40" hidden="1" x14ac:dyDescent="0.25">
      <c r="A559" s="123" t="s">
        <v>300</v>
      </c>
      <c r="B559" s="148" t="s">
        <v>3</v>
      </c>
      <c r="C559" s="148" t="s">
        <v>82</v>
      </c>
      <c r="D559" s="148" t="s">
        <v>83</v>
      </c>
      <c r="E559" s="148" t="s">
        <v>88</v>
      </c>
      <c r="F559" s="148" t="s">
        <v>88</v>
      </c>
      <c r="G559" s="148" t="s">
        <v>88</v>
      </c>
      <c r="H559" s="148" t="s">
        <v>298</v>
      </c>
      <c r="I559" s="79" t="s">
        <v>78</v>
      </c>
      <c r="J559" s="79" t="s">
        <v>78</v>
      </c>
      <c r="K559" s="79" t="s">
        <v>3</v>
      </c>
      <c r="L559" s="148"/>
      <c r="M559" s="148"/>
      <c r="N559" s="148" t="s">
        <v>201</v>
      </c>
      <c r="O559" s="148" t="s">
        <v>81</v>
      </c>
      <c r="P559" s="140">
        <v>0</v>
      </c>
      <c r="Q559" s="148"/>
      <c r="R559" s="148" t="s">
        <v>54</v>
      </c>
      <c r="S559" s="141">
        <v>0</v>
      </c>
      <c r="T559" s="141">
        <v>3704750</v>
      </c>
      <c r="U559" s="141">
        <v>6410256.4100000001</v>
      </c>
      <c r="V559" s="141"/>
      <c r="W559" s="141">
        <v>6410256.4100000001</v>
      </c>
      <c r="X559" s="141">
        <v>384615.38433962298</v>
      </c>
      <c r="Y559" s="50">
        <f t="shared" si="123"/>
        <v>2705506.41</v>
      </c>
      <c r="Z559" s="50">
        <f t="shared" si="124"/>
        <v>6794871.7943396233</v>
      </c>
      <c r="AA559" s="149">
        <f t="shared" ref="AA559:AA561" si="131">IF(M559="返现",U559*N559,U559-W559)</f>
        <v>0</v>
      </c>
      <c r="AB559" s="141">
        <v>3704750</v>
      </c>
      <c r="AC559" s="140">
        <v>0.05</v>
      </c>
      <c r="AD559" s="141">
        <f t="shared" si="119"/>
        <v>185237.5</v>
      </c>
      <c r="AE559" s="141"/>
      <c r="AF559" s="141"/>
      <c r="AG559" s="150">
        <v>0.35</v>
      </c>
      <c r="AH559" s="141"/>
      <c r="AI559" s="141">
        <v>0</v>
      </c>
      <c r="AJ559" s="151"/>
      <c r="AK559" s="151"/>
      <c r="AL559" s="151"/>
      <c r="AM559" s="151"/>
      <c r="AN559" s="99"/>
    </row>
    <row r="560" spans="1:40" hidden="1" x14ac:dyDescent="0.25">
      <c r="A560" s="123" t="s">
        <v>300</v>
      </c>
      <c r="B560" s="148" t="s">
        <v>3</v>
      </c>
      <c r="C560" s="148" t="s">
        <v>95</v>
      </c>
      <c r="D560" s="148" t="s">
        <v>96</v>
      </c>
      <c r="E560" s="148" t="s">
        <v>192</v>
      </c>
      <c r="F560" s="148" t="s">
        <v>192</v>
      </c>
      <c r="G560" s="148" t="s">
        <v>192</v>
      </c>
      <c r="H560" s="148" t="s">
        <v>298</v>
      </c>
      <c r="I560" s="79" t="s">
        <v>78</v>
      </c>
      <c r="J560" s="79" t="s">
        <v>78</v>
      </c>
      <c r="K560" s="79" t="s">
        <v>3</v>
      </c>
      <c r="L560" s="148"/>
      <c r="M560" s="148"/>
      <c r="N560" s="148" t="s">
        <v>201</v>
      </c>
      <c r="O560" s="148" t="s">
        <v>81</v>
      </c>
      <c r="P560" s="140">
        <v>0</v>
      </c>
      <c r="Q560" s="148"/>
      <c r="R560" s="148"/>
      <c r="S560" s="141">
        <v>0</v>
      </c>
      <c r="T560" s="141">
        <v>190800</v>
      </c>
      <c r="U560" s="141">
        <v>95400</v>
      </c>
      <c r="V560" s="141"/>
      <c r="W560" s="141">
        <v>95400</v>
      </c>
      <c r="X560" s="141"/>
      <c r="Y560" s="50">
        <f t="shared" si="123"/>
        <v>0</v>
      </c>
      <c r="Z560" s="50">
        <f t="shared" si="124"/>
        <v>95400</v>
      </c>
      <c r="AA560" s="149">
        <f t="shared" si="131"/>
        <v>0</v>
      </c>
      <c r="AB560" s="141">
        <v>95400</v>
      </c>
      <c r="AC560" s="140">
        <v>0.05</v>
      </c>
      <c r="AD560" s="141">
        <f t="shared" si="119"/>
        <v>4770</v>
      </c>
      <c r="AE560" s="141"/>
      <c r="AF560" s="141"/>
      <c r="AG560" s="150">
        <v>0</v>
      </c>
      <c r="AH560" s="141"/>
      <c r="AI560" s="141">
        <v>0</v>
      </c>
      <c r="AJ560" s="151"/>
      <c r="AK560" s="151"/>
      <c r="AL560" s="151"/>
      <c r="AM560" s="151"/>
      <c r="AN560" s="99"/>
    </row>
    <row r="561" spans="1:40" hidden="1" x14ac:dyDescent="0.25">
      <c r="A561" s="123" t="s">
        <v>300</v>
      </c>
      <c r="B561" s="148" t="s">
        <v>3</v>
      </c>
      <c r="C561" s="148" t="s">
        <v>82</v>
      </c>
      <c r="D561" s="148" t="s">
        <v>83</v>
      </c>
      <c r="E561" s="148" t="s">
        <v>88</v>
      </c>
      <c r="F561" s="148" t="s">
        <v>88</v>
      </c>
      <c r="G561" s="148" t="s">
        <v>88</v>
      </c>
      <c r="H561" s="148" t="s">
        <v>299</v>
      </c>
      <c r="I561" s="148" t="s">
        <v>203</v>
      </c>
      <c r="J561" s="148" t="s">
        <v>244</v>
      </c>
      <c r="K561" s="148" t="s">
        <v>3</v>
      </c>
      <c r="L561" s="148"/>
      <c r="M561" s="148"/>
      <c r="N561" s="148" t="s">
        <v>86</v>
      </c>
      <c r="O561" s="148" t="s">
        <v>81</v>
      </c>
      <c r="P561" s="140">
        <v>0</v>
      </c>
      <c r="Q561" s="148"/>
      <c r="R561" s="148" t="s">
        <v>205</v>
      </c>
      <c r="S561" s="141">
        <v>0</v>
      </c>
      <c r="T561" s="141">
        <v>97101.3</v>
      </c>
      <c r="U561" s="141">
        <v>97101.3</v>
      </c>
      <c r="V561" s="148"/>
      <c r="W561" s="141">
        <v>0</v>
      </c>
      <c r="X561" s="148"/>
      <c r="Y561" s="50">
        <f t="shared" si="123"/>
        <v>0</v>
      </c>
      <c r="Z561" s="50">
        <f>W561+X561+AN561</f>
        <v>0</v>
      </c>
      <c r="AA561" s="149">
        <f t="shared" si="131"/>
        <v>97101.3</v>
      </c>
      <c r="AB561" s="141">
        <v>97101.3</v>
      </c>
      <c r="AC561" s="140">
        <v>0</v>
      </c>
      <c r="AD561" s="141">
        <v>0</v>
      </c>
      <c r="AE561" s="141"/>
      <c r="AF561" s="148"/>
      <c r="AG561" s="152">
        <v>0</v>
      </c>
      <c r="AH561" s="141"/>
      <c r="AI561" s="141">
        <v>0</v>
      </c>
      <c r="AJ561" s="151"/>
      <c r="AK561" s="151"/>
      <c r="AL561" s="151"/>
      <c r="AM561" s="151"/>
      <c r="AN561" s="99"/>
    </row>
    <row r="562" spans="1:40" s="139" customFormat="1" hidden="1" x14ac:dyDescent="0.25">
      <c r="A562" s="123" t="s">
        <v>300</v>
      </c>
      <c r="B562" s="142" t="s">
        <v>71</v>
      </c>
      <c r="C562" s="142" t="s">
        <v>82</v>
      </c>
      <c r="D562" s="142" t="s">
        <v>208</v>
      </c>
      <c r="E562" s="142" t="s">
        <v>214</v>
      </c>
      <c r="F562" s="142" t="s">
        <v>264</v>
      </c>
      <c r="G562" s="142" t="s">
        <v>76</v>
      </c>
      <c r="H562" s="142" t="s">
        <v>210</v>
      </c>
      <c r="I562" s="142" t="s">
        <v>203</v>
      </c>
      <c r="J562" s="142" t="s">
        <v>284</v>
      </c>
      <c r="K562" s="142" t="s">
        <v>3</v>
      </c>
      <c r="L562" s="142" t="s">
        <v>214</v>
      </c>
      <c r="M562" s="142"/>
      <c r="N562" s="142" t="s">
        <v>212</v>
      </c>
      <c r="O562" s="142" t="s">
        <v>81</v>
      </c>
      <c r="P562" s="153">
        <v>0</v>
      </c>
      <c r="Q562" s="142"/>
      <c r="R562" s="142"/>
      <c r="S562" s="137">
        <v>0</v>
      </c>
      <c r="T562" s="137">
        <v>0</v>
      </c>
      <c r="U562" s="137">
        <v>9979200</v>
      </c>
      <c r="V562" s="137">
        <v>0</v>
      </c>
      <c r="W562" s="137">
        <f>IF(O562="返现",U562,IF(O562="折扣",U562*P562,U562/(1+P562)))</f>
        <v>9979200</v>
      </c>
      <c r="X562" s="137"/>
      <c r="Y562" s="50">
        <f t="shared" si="123"/>
        <v>0</v>
      </c>
      <c r="Z562" s="50">
        <f t="shared" si="124"/>
        <v>9979200</v>
      </c>
      <c r="AA562" s="137">
        <f t="shared" ref="AA562:AA624" si="132">IF(O562="返现",W562*P562,U562-W562)</f>
        <v>0</v>
      </c>
      <c r="AB562" s="137">
        <v>10080000</v>
      </c>
      <c r="AC562" s="153">
        <v>0</v>
      </c>
      <c r="AD562" s="154">
        <f>AC562*AB562</f>
        <v>0</v>
      </c>
      <c r="AE562" s="154"/>
      <c r="AF562" s="142"/>
      <c r="AG562" s="153">
        <v>0</v>
      </c>
      <c r="AH562" s="142"/>
      <c r="AI562" s="137"/>
      <c r="AJ562" s="142"/>
      <c r="AK562" s="142"/>
      <c r="AL562" s="142"/>
      <c r="AM562" s="142"/>
    </row>
    <row r="563" spans="1:40" s="158" customFormat="1" x14ac:dyDescent="0.25">
      <c r="A563" s="155" t="s">
        <v>304</v>
      </c>
      <c r="B563" s="156" t="s">
        <v>71</v>
      </c>
      <c r="C563" s="156" t="s">
        <v>82</v>
      </c>
      <c r="D563" s="156" t="s">
        <v>83</v>
      </c>
      <c r="E563" s="156" t="s">
        <v>277</v>
      </c>
      <c r="F563" s="156" t="s">
        <v>278</v>
      </c>
      <c r="G563" s="156" t="s">
        <v>76</v>
      </c>
      <c r="H563" s="156" t="s">
        <v>298</v>
      </c>
      <c r="I563" s="156" t="s">
        <v>78</v>
      </c>
      <c r="J563" s="156" t="s">
        <v>78</v>
      </c>
      <c r="K563" s="156" t="s">
        <v>3</v>
      </c>
      <c r="L563" s="156" t="s">
        <v>279</v>
      </c>
      <c r="M563" s="156"/>
      <c r="N563" s="156" t="s">
        <v>86</v>
      </c>
      <c r="O563" s="156" t="s">
        <v>94</v>
      </c>
      <c r="P563" s="167">
        <v>3.8399999999999997E-2</v>
      </c>
      <c r="Q563" s="168"/>
      <c r="R563" s="156"/>
      <c r="S563" s="169">
        <v>1633247.46</v>
      </c>
      <c r="T563" s="169">
        <v>1030000</v>
      </c>
      <c r="U563" s="169">
        <v>2414770.0099999998</v>
      </c>
      <c r="V563" s="170">
        <f t="shared" ref="V563:V621" si="133">S563+T563-U563</f>
        <v>248477.45000000019</v>
      </c>
      <c r="W563" s="170">
        <f>IF(O563="折扣",U563*P563,IF(O563="返现",U563,U563*(1+AG563)/(1+P563+AG563)))</f>
        <v>2344436.9029126214</v>
      </c>
      <c r="X563" s="156"/>
      <c r="Y563" s="50">
        <f t="shared" si="123"/>
        <v>0</v>
      </c>
      <c r="Z563" s="50">
        <f t="shared" ref="Z563:Z570" si="134">W563+X563+AN563</f>
        <v>2344436.9029126214</v>
      </c>
      <c r="AA563" s="169">
        <f t="shared" si="132"/>
        <v>70333.10708737839</v>
      </c>
      <c r="AB563" s="170">
        <f t="shared" ref="AB563:AB565" si="135">U563</f>
        <v>2414770.0099999998</v>
      </c>
      <c r="AC563" s="171">
        <v>0.05</v>
      </c>
      <c r="AD563" s="172">
        <f t="shared" ref="AD563:AD623" si="136">AB563*AC563</f>
        <v>120738.50049999999</v>
      </c>
      <c r="AE563" s="156"/>
      <c r="AG563" s="167">
        <v>0.28000000000000003</v>
      </c>
      <c r="AH563" s="170">
        <f>AK563/(1+AG563)</f>
        <v>2414769.4609375</v>
      </c>
      <c r="AI563" s="169">
        <v>177313.01</v>
      </c>
      <c r="AJ563" s="170">
        <f>T563*AG563</f>
        <v>288400</v>
      </c>
      <c r="AK563" s="169">
        <v>3090904.91</v>
      </c>
      <c r="AL563" s="170">
        <f t="shared" ref="AL563:AL621" si="137">AI563+AJ563-AK563+U563</f>
        <v>-210421.8900000006</v>
      </c>
      <c r="AM563" s="169">
        <f>IF(O563="折扣",AK563*P563,IF(O563="返现",AK563/(1+AG563),AK563/(1+P563+AG563)))</f>
        <v>2344436.3698422331</v>
      </c>
      <c r="AN563" s="157"/>
    </row>
    <row r="564" spans="1:40" x14ac:dyDescent="0.25">
      <c r="A564" s="123" t="s">
        <v>304</v>
      </c>
      <c r="B564" s="142" t="s">
        <v>71</v>
      </c>
      <c r="C564" s="142" t="s">
        <v>82</v>
      </c>
      <c r="D564" s="142" t="s">
        <v>83</v>
      </c>
      <c r="E564" s="142" t="s">
        <v>277</v>
      </c>
      <c r="F564" s="142" t="s">
        <v>278</v>
      </c>
      <c r="G564" s="142" t="s">
        <v>76</v>
      </c>
      <c r="H564" s="142" t="s">
        <v>298</v>
      </c>
      <c r="I564" s="142" t="s">
        <v>78</v>
      </c>
      <c r="J564" s="142" t="s">
        <v>78</v>
      </c>
      <c r="K564" s="142" t="s">
        <v>3</v>
      </c>
      <c r="L564" s="142" t="s">
        <v>279</v>
      </c>
      <c r="M564" s="142"/>
      <c r="N564" s="142" t="s">
        <v>126</v>
      </c>
      <c r="O564" s="142" t="s">
        <v>94</v>
      </c>
      <c r="P564" s="173">
        <v>4.1399999999999999E-2</v>
      </c>
      <c r="Q564" s="174"/>
      <c r="R564" s="142"/>
      <c r="S564" s="147">
        <v>1700789.69</v>
      </c>
      <c r="T564" s="147">
        <v>1030000</v>
      </c>
      <c r="U564" s="147">
        <v>1428152.18</v>
      </c>
      <c r="V564" s="175">
        <f t="shared" si="133"/>
        <v>1302637.51</v>
      </c>
      <c r="W564" s="175">
        <f>IF(O564="折扣",U564*P564,IF(O564="返现",U564,U564*(1+AG564)/(1+P564+AG564)))</f>
        <v>1386555.5145631065</v>
      </c>
      <c r="X564" s="142"/>
      <c r="Y564" s="50">
        <f t="shared" si="123"/>
        <v>0</v>
      </c>
      <c r="Z564" s="50">
        <f t="shared" si="134"/>
        <v>1386555.5145631065</v>
      </c>
      <c r="AA564" s="147">
        <f t="shared" si="132"/>
        <v>41596.665436893469</v>
      </c>
      <c r="AB564" s="175">
        <f t="shared" si="135"/>
        <v>1428152.18</v>
      </c>
      <c r="AC564" s="176">
        <v>0.05</v>
      </c>
      <c r="AD564" s="177">
        <f t="shared" si="136"/>
        <v>71407.608999999997</v>
      </c>
      <c r="AE564" s="142"/>
      <c r="AG564" s="173">
        <v>0.38</v>
      </c>
      <c r="AH564" s="137">
        <f>AK564/(1+AG564)</f>
        <v>1428471.3550724639</v>
      </c>
      <c r="AI564" s="147">
        <v>645384.59640000004</v>
      </c>
      <c r="AJ564" s="175">
        <f>T564*AG564</f>
        <v>391400</v>
      </c>
      <c r="AK564" s="147">
        <v>1971290.47</v>
      </c>
      <c r="AL564" s="175">
        <f>AI564+AJ564-AK564+U564</f>
        <v>493646.3064</v>
      </c>
      <c r="AM564" s="147">
        <f>IF(O564="折扣",AK564*P564,IF(O564="返现",AK564/(1+AG564),AK564/(1+P564+AG564)))</f>
        <v>1386865.3932742365</v>
      </c>
      <c r="AN564" s="146"/>
    </row>
    <row r="565" spans="1:40" x14ac:dyDescent="0.25">
      <c r="A565" s="123" t="s">
        <v>304</v>
      </c>
      <c r="B565" s="142" t="s">
        <v>3</v>
      </c>
      <c r="C565" s="142" t="s">
        <v>82</v>
      </c>
      <c r="D565" s="142" t="s">
        <v>83</v>
      </c>
      <c r="E565" s="142" t="s">
        <v>302</v>
      </c>
      <c r="F565" s="142" t="s">
        <v>302</v>
      </c>
      <c r="G565" s="142" t="s">
        <v>302</v>
      </c>
      <c r="H565" s="142" t="s">
        <v>298</v>
      </c>
      <c r="I565" s="142" t="s">
        <v>78</v>
      </c>
      <c r="J565" s="142" t="s">
        <v>78</v>
      </c>
      <c r="K565" s="142" t="s">
        <v>3</v>
      </c>
      <c r="L565" s="142" t="s">
        <v>302</v>
      </c>
      <c r="M565" s="142"/>
      <c r="N565" s="142" t="s">
        <v>126</v>
      </c>
      <c r="O565" s="142" t="s">
        <v>94</v>
      </c>
      <c r="P565" s="173">
        <v>0.03</v>
      </c>
      <c r="Q565" s="174"/>
      <c r="R565" s="142"/>
      <c r="S565" s="147">
        <v>1030</v>
      </c>
      <c r="T565" s="147">
        <v>153470</v>
      </c>
      <c r="U565" s="147">
        <v>72624.14</v>
      </c>
      <c r="V565" s="175">
        <f t="shared" si="133"/>
        <v>81875.86</v>
      </c>
      <c r="W565" s="175">
        <f>IF(O565="折扣",U565*P565,IF(O565="返现",U565,U565*(1+AG565)/(1+P565+AG565)))</f>
        <v>70508.87378640777</v>
      </c>
      <c r="X565" s="142"/>
      <c r="Y565" s="50">
        <f t="shared" si="123"/>
        <v>0</v>
      </c>
      <c r="Z565" s="50">
        <f t="shared" si="134"/>
        <v>70508.87378640777</v>
      </c>
      <c r="AA565" s="147">
        <f t="shared" si="132"/>
        <v>2115.2662135922292</v>
      </c>
      <c r="AB565" s="175">
        <f t="shared" si="135"/>
        <v>72624.14</v>
      </c>
      <c r="AC565" s="176">
        <v>0.05</v>
      </c>
      <c r="AD565" s="177">
        <f t="shared" si="136"/>
        <v>3631.2070000000003</v>
      </c>
      <c r="AE565" s="142"/>
      <c r="AG565" s="173">
        <v>0</v>
      </c>
      <c r="AH565" s="137">
        <f>AK565/(1+AG565)</f>
        <v>72624.14</v>
      </c>
      <c r="AI565" s="147">
        <v>0</v>
      </c>
      <c r="AJ565" s="175">
        <f>T565*AG565</f>
        <v>0</v>
      </c>
      <c r="AK565" s="147">
        <v>72624.14</v>
      </c>
      <c r="AL565" s="175">
        <f t="shared" si="137"/>
        <v>0</v>
      </c>
      <c r="AM565" s="147">
        <f>IF(O565="折扣",AK565*P565,IF(O565="返现",AK565/(1+AG565),AK565/(1+P565+AG565)))</f>
        <v>70508.87378640777</v>
      </c>
    </row>
    <row r="566" spans="1:40" x14ac:dyDescent="0.25">
      <c r="A566" s="123" t="s">
        <v>304</v>
      </c>
      <c r="B566" s="142" t="s">
        <v>3</v>
      </c>
      <c r="C566" s="142" t="s">
        <v>82</v>
      </c>
      <c r="D566" s="142" t="s">
        <v>83</v>
      </c>
      <c r="E566" s="142" t="s">
        <v>88</v>
      </c>
      <c r="F566" s="142" t="s">
        <v>88</v>
      </c>
      <c r="G566" s="142" t="s">
        <v>88</v>
      </c>
      <c r="H566" s="142" t="s">
        <v>298</v>
      </c>
      <c r="I566" s="142" t="s">
        <v>78</v>
      </c>
      <c r="J566" s="142" t="s">
        <v>78</v>
      </c>
      <c r="K566" s="142" t="s">
        <v>3</v>
      </c>
      <c r="L566" s="142" t="s">
        <v>88</v>
      </c>
      <c r="M566" s="142"/>
      <c r="N566" s="142" t="s">
        <v>86</v>
      </c>
      <c r="O566" s="142" t="s">
        <v>81</v>
      </c>
      <c r="P566" s="173">
        <v>0</v>
      </c>
      <c r="Q566" s="174"/>
      <c r="R566" s="142"/>
      <c r="S566" s="147">
        <v>952198.76</v>
      </c>
      <c r="T566" s="147">
        <v>1135196.28</v>
      </c>
      <c r="U566" s="147">
        <v>907491.07999999903</v>
      </c>
      <c r="V566" s="175">
        <f t="shared" si="133"/>
        <v>1179903.9600000009</v>
      </c>
      <c r="W566" s="141">
        <v>1563830.41509434</v>
      </c>
      <c r="X566" s="141">
        <v>93829.824905660396</v>
      </c>
      <c r="Y566" s="50">
        <f t="shared" si="123"/>
        <v>631365.81509434001</v>
      </c>
      <c r="Z566" s="50">
        <f t="shared" si="134"/>
        <v>1657660.2400000005</v>
      </c>
      <c r="AA566" s="147">
        <f t="shared" si="132"/>
        <v>-656339.33509434096</v>
      </c>
      <c r="AB566" s="136">
        <v>932464.6</v>
      </c>
      <c r="AC566" s="176">
        <v>0.05</v>
      </c>
      <c r="AD566" s="177">
        <f t="shared" si="136"/>
        <v>46623.23</v>
      </c>
      <c r="AE566" s="142"/>
      <c r="AG566" s="173">
        <v>0.3</v>
      </c>
      <c r="AH566" s="137">
        <f>AK566/(1+AG566)</f>
        <v>907530.15384615376</v>
      </c>
      <c r="AI566" s="147">
        <v>1133995.2720000099</v>
      </c>
      <c r="AJ566" s="175">
        <f>T566*AG566</f>
        <v>340558.88400000002</v>
      </c>
      <c r="AK566" s="147">
        <v>1179789.2</v>
      </c>
      <c r="AL566" s="175">
        <f t="shared" si="137"/>
        <v>1202256.0360000092</v>
      </c>
      <c r="AM566" s="147">
        <f>W566</f>
        <v>1563830.41509434</v>
      </c>
    </row>
    <row r="567" spans="1:40" x14ac:dyDescent="0.25">
      <c r="A567" s="123" t="s">
        <v>304</v>
      </c>
      <c r="B567" s="142" t="s">
        <v>3</v>
      </c>
      <c r="C567" s="142" t="s">
        <v>82</v>
      </c>
      <c r="D567" s="142" t="s">
        <v>83</v>
      </c>
      <c r="E567" s="142" t="s">
        <v>247</v>
      </c>
      <c r="F567" s="142" t="s">
        <v>247</v>
      </c>
      <c r="G567" s="142" t="s">
        <v>247</v>
      </c>
      <c r="H567" s="142" t="s">
        <v>298</v>
      </c>
      <c r="I567" s="142" t="s">
        <v>78</v>
      </c>
      <c r="J567" s="142" t="s">
        <v>78</v>
      </c>
      <c r="K567" s="142" t="s">
        <v>3</v>
      </c>
      <c r="L567" s="142" t="s">
        <v>88</v>
      </c>
      <c r="M567" s="142"/>
      <c r="N567" s="142" t="s">
        <v>126</v>
      </c>
      <c r="O567" s="142" t="s">
        <v>81</v>
      </c>
      <c r="P567" s="173">
        <v>0</v>
      </c>
      <c r="Q567" s="174"/>
      <c r="R567" s="142" t="s">
        <v>305</v>
      </c>
      <c r="S567" s="147">
        <v>31049.01</v>
      </c>
      <c r="T567" s="147"/>
      <c r="U567" s="147">
        <v>31062.18</v>
      </c>
      <c r="V567" s="175">
        <f t="shared" si="133"/>
        <v>-13.170000000001892</v>
      </c>
      <c r="W567" s="175">
        <v>0</v>
      </c>
      <c r="X567" s="142"/>
      <c r="Y567" s="50">
        <f t="shared" si="123"/>
        <v>0</v>
      </c>
      <c r="Z567" s="50">
        <f t="shared" si="134"/>
        <v>0</v>
      </c>
      <c r="AA567" s="147">
        <f t="shared" si="132"/>
        <v>31062.18</v>
      </c>
      <c r="AB567" s="175">
        <f t="shared" ref="AB567:AB621" si="138">U567</f>
        <v>31062.18</v>
      </c>
      <c r="AC567" s="176">
        <v>0.05</v>
      </c>
      <c r="AD567" s="177">
        <f t="shared" si="136"/>
        <v>1553.1090000000002</v>
      </c>
      <c r="AE567" s="142"/>
      <c r="AG567" s="173">
        <v>0.24</v>
      </c>
      <c r="AH567" s="137">
        <f>AK567/(1+AG567)</f>
        <v>31061.241935483875</v>
      </c>
      <c r="AI567" s="147">
        <v>91466.931200000006</v>
      </c>
      <c r="AJ567" s="175">
        <f>T567*AG567</f>
        <v>0</v>
      </c>
      <c r="AK567" s="147">
        <v>38515.94</v>
      </c>
      <c r="AL567" s="175">
        <f t="shared" si="137"/>
        <v>84013.171200000012</v>
      </c>
      <c r="AM567" s="147">
        <v>0</v>
      </c>
    </row>
    <row r="568" spans="1:40" x14ac:dyDescent="0.25">
      <c r="A568" s="123" t="s">
        <v>304</v>
      </c>
      <c r="B568" s="142" t="s">
        <v>3</v>
      </c>
      <c r="C568" s="142" t="s">
        <v>82</v>
      </c>
      <c r="D568" s="142" t="s">
        <v>83</v>
      </c>
      <c r="E568" s="142" t="s">
        <v>248</v>
      </c>
      <c r="F568" s="142" t="s">
        <v>248</v>
      </c>
      <c r="G568" s="142" t="s">
        <v>248</v>
      </c>
      <c r="H568" s="142" t="s">
        <v>298</v>
      </c>
      <c r="I568" s="142" t="s">
        <v>78</v>
      </c>
      <c r="J568" s="142" t="s">
        <v>78</v>
      </c>
      <c r="K568" s="142" t="s">
        <v>3</v>
      </c>
      <c r="L568" s="142" t="s">
        <v>88</v>
      </c>
      <c r="M568" s="142"/>
      <c r="N568" s="142" t="s">
        <v>86</v>
      </c>
      <c r="O568" s="142" t="s">
        <v>87</v>
      </c>
      <c r="P568" s="173">
        <v>0.02</v>
      </c>
      <c r="Q568" s="174"/>
      <c r="R568" s="142" t="s">
        <v>305</v>
      </c>
      <c r="S568" s="147">
        <v>52252.28</v>
      </c>
      <c r="T568" s="147"/>
      <c r="U568" s="147">
        <v>52219</v>
      </c>
      <c r="V568" s="175">
        <f t="shared" si="133"/>
        <v>33.279999999998836</v>
      </c>
      <c r="W568" s="175">
        <v>0</v>
      </c>
      <c r="X568" s="142"/>
      <c r="Y568" s="50">
        <f t="shared" si="123"/>
        <v>0</v>
      </c>
      <c r="Z568" s="50">
        <f t="shared" si="134"/>
        <v>0</v>
      </c>
      <c r="AA568" s="147">
        <f t="shared" si="132"/>
        <v>0</v>
      </c>
      <c r="AB568" s="175">
        <f t="shared" si="138"/>
        <v>52219</v>
      </c>
      <c r="AC568" s="176">
        <v>0.05</v>
      </c>
      <c r="AD568" s="177">
        <f t="shared" si="136"/>
        <v>2610.9500000000003</v>
      </c>
      <c r="AE568" s="142"/>
      <c r="AG568" s="173">
        <v>0.3</v>
      </c>
      <c r="AH568" s="137">
        <f>AK568/(1+AG568)</f>
        <v>52222.238461538465</v>
      </c>
      <c r="AI568" s="147">
        <v>15673.64</v>
      </c>
      <c r="AJ568" s="175">
        <f>T568*AG568</f>
        <v>0</v>
      </c>
      <c r="AK568" s="147">
        <v>67888.91</v>
      </c>
      <c r="AL568" s="175">
        <f t="shared" si="137"/>
        <v>3.7299999999959255</v>
      </c>
      <c r="AM568" s="147">
        <v>0</v>
      </c>
    </row>
    <row r="569" spans="1:40" x14ac:dyDescent="0.25">
      <c r="A569" s="123" t="s">
        <v>304</v>
      </c>
      <c r="B569" s="142" t="s">
        <v>71</v>
      </c>
      <c r="C569" s="142" t="s">
        <v>82</v>
      </c>
      <c r="D569" s="142" t="s">
        <v>83</v>
      </c>
      <c r="E569" s="142" t="s">
        <v>280</v>
      </c>
      <c r="F569" s="142" t="s">
        <v>281</v>
      </c>
      <c r="G569" s="142" t="s">
        <v>76</v>
      </c>
      <c r="H569" s="142" t="s">
        <v>298</v>
      </c>
      <c r="I569" s="142" t="s">
        <v>78</v>
      </c>
      <c r="J569" s="142" t="s">
        <v>78</v>
      </c>
      <c r="K569" s="142" t="s">
        <v>3</v>
      </c>
      <c r="L569" s="142" t="s">
        <v>282</v>
      </c>
      <c r="M569" s="142"/>
      <c r="N569" s="142" t="s">
        <v>126</v>
      </c>
      <c r="O569" s="142" t="s">
        <v>94</v>
      </c>
      <c r="P569" s="173">
        <v>4.1399999999999999E-2</v>
      </c>
      <c r="Q569" s="174"/>
      <c r="R569" s="142"/>
      <c r="S569" s="147">
        <v>15550.3</v>
      </c>
      <c r="T569" s="147"/>
      <c r="U569" s="147">
        <v>0</v>
      </c>
      <c r="V569" s="175">
        <f t="shared" si="133"/>
        <v>15550.3</v>
      </c>
      <c r="W569" s="175">
        <f>IF(O569="折扣",U569*P569,IF(O569="返现",U569,U569*(1+AG569)/(1+P569+AG569)))</f>
        <v>0</v>
      </c>
      <c r="X569" s="142"/>
      <c r="Y569" s="50">
        <f t="shared" si="123"/>
        <v>0</v>
      </c>
      <c r="Z569" s="50">
        <f t="shared" si="134"/>
        <v>0</v>
      </c>
      <c r="AA569" s="147">
        <f t="shared" si="132"/>
        <v>0</v>
      </c>
      <c r="AB569" s="175">
        <f t="shared" si="138"/>
        <v>0</v>
      </c>
      <c r="AC569" s="176">
        <v>0.05</v>
      </c>
      <c r="AD569" s="177">
        <f t="shared" si="136"/>
        <v>0</v>
      </c>
      <c r="AE569" s="142"/>
      <c r="AG569" s="173">
        <v>0.38</v>
      </c>
      <c r="AH569" s="137">
        <f>AK569/(1+AG569)</f>
        <v>0</v>
      </c>
      <c r="AI569" s="147">
        <v>-223198.27420000001</v>
      </c>
      <c r="AJ569" s="175">
        <f>T569*AG569</f>
        <v>0</v>
      </c>
      <c r="AK569" s="147">
        <v>0</v>
      </c>
      <c r="AL569" s="175">
        <f t="shared" si="137"/>
        <v>-223198.27420000001</v>
      </c>
      <c r="AM569" s="147">
        <f>IF(O569="折扣",AK569*P569,IF(O569="返现",AK569/(1+AG569),AK569/(1+P569+AG569)))</f>
        <v>0</v>
      </c>
    </row>
    <row r="570" spans="1:40" x14ac:dyDescent="0.25">
      <c r="A570" s="123" t="s">
        <v>304</v>
      </c>
      <c r="B570" s="142" t="s">
        <v>3</v>
      </c>
      <c r="C570" s="142" t="s">
        <v>82</v>
      </c>
      <c r="D570" s="142" t="s">
        <v>83</v>
      </c>
      <c r="E570" s="142" t="s">
        <v>248</v>
      </c>
      <c r="F570" s="142" t="s">
        <v>248</v>
      </c>
      <c r="G570" s="142" t="s">
        <v>248</v>
      </c>
      <c r="H570" s="142" t="s">
        <v>298</v>
      </c>
      <c r="I570" s="142" t="s">
        <v>78</v>
      </c>
      <c r="J570" s="142" t="s">
        <v>78</v>
      </c>
      <c r="K570" s="142" t="s">
        <v>3</v>
      </c>
      <c r="L570" s="142" t="s">
        <v>88</v>
      </c>
      <c r="M570" s="142"/>
      <c r="N570" s="142" t="s">
        <v>86</v>
      </c>
      <c r="O570" s="142" t="s">
        <v>249</v>
      </c>
      <c r="P570" s="173">
        <v>0.98</v>
      </c>
      <c r="Q570" s="174"/>
      <c r="R570" s="142"/>
      <c r="S570" s="147">
        <v>23.700000000040699</v>
      </c>
      <c r="T570" s="147"/>
      <c r="U570" s="147">
        <v>0</v>
      </c>
      <c r="V570" s="175">
        <f t="shared" si="133"/>
        <v>23.700000000040699</v>
      </c>
      <c r="W570" s="175">
        <f>IF(O570="折扣",U570*P570,IF(O570="返现",U570,U570*(1+AG570)/(1+P570+AG570)))</f>
        <v>0</v>
      </c>
      <c r="X570" s="142"/>
      <c r="Y570" s="50">
        <f t="shared" si="123"/>
        <v>0</v>
      </c>
      <c r="Z570" s="50">
        <f t="shared" si="134"/>
        <v>0</v>
      </c>
      <c r="AA570" s="147">
        <f t="shared" si="132"/>
        <v>0</v>
      </c>
      <c r="AB570" s="175">
        <f t="shared" si="138"/>
        <v>0</v>
      </c>
      <c r="AC570" s="176">
        <v>0.05</v>
      </c>
      <c r="AD570" s="177">
        <f t="shared" si="136"/>
        <v>0</v>
      </c>
      <c r="AE570" s="142"/>
      <c r="AG570" s="173">
        <v>0.3</v>
      </c>
      <c r="AH570" s="137">
        <f>AK570/(1+AG570)</f>
        <v>0</v>
      </c>
      <c r="AI570" s="147">
        <v>45944.69</v>
      </c>
      <c r="AJ570" s="175">
        <f>T570*AG570</f>
        <v>0</v>
      </c>
      <c r="AK570" s="147">
        <v>0</v>
      </c>
      <c r="AL570" s="175">
        <f t="shared" si="137"/>
        <v>45944.69</v>
      </c>
      <c r="AM570" s="147">
        <f>IF(O570="折扣",AK570*P570,IF(O570="返现",AK570/(1+AG570),AK570/(1+P570+AG570)))</f>
        <v>0</v>
      </c>
    </row>
    <row r="571" spans="1:40" x14ac:dyDescent="0.25">
      <c r="A571" s="123" t="s">
        <v>304</v>
      </c>
      <c r="B571" s="142" t="s">
        <v>71</v>
      </c>
      <c r="C571" s="142" t="s">
        <v>193</v>
      </c>
      <c r="D571" s="142" t="s">
        <v>194</v>
      </c>
      <c r="E571" s="142" t="s">
        <v>195</v>
      </c>
      <c r="F571" s="142" t="s">
        <v>196</v>
      </c>
      <c r="G571" s="142" t="s">
        <v>76</v>
      </c>
      <c r="H571" s="142" t="s">
        <v>298</v>
      </c>
      <c r="I571" s="142" t="s">
        <v>78</v>
      </c>
      <c r="J571" s="142" t="s">
        <v>78</v>
      </c>
      <c r="K571" s="142" t="s">
        <v>3</v>
      </c>
      <c r="L571" s="142" t="s">
        <v>197</v>
      </c>
      <c r="M571" s="142"/>
      <c r="N571" s="142" t="s">
        <v>80</v>
      </c>
      <c r="O571" s="142" t="s">
        <v>81</v>
      </c>
      <c r="P571" s="173">
        <v>0</v>
      </c>
      <c r="Q571" s="174"/>
      <c r="R571" s="142"/>
      <c r="S571" s="147">
        <v>2956.69</v>
      </c>
      <c r="T571" s="147"/>
      <c r="U571" s="147">
        <v>0</v>
      </c>
      <c r="V571" s="175">
        <f t="shared" si="133"/>
        <v>2956.69</v>
      </c>
      <c r="W571" s="175">
        <f>IF(O571="折扣",U571*P571,IF(O571="返现",U571,U571*(1+AG571)/(1+P571+AG571)))</f>
        <v>0</v>
      </c>
      <c r="X571" s="142"/>
      <c r="Y571" s="50">
        <f t="shared" si="123"/>
        <v>0</v>
      </c>
      <c r="Z571" s="50">
        <f t="shared" ref="Z571:Z606" si="139">W571+X571+AN571</f>
        <v>0</v>
      </c>
      <c r="AA571" s="147">
        <f t="shared" si="132"/>
        <v>0</v>
      </c>
      <c r="AB571" s="175">
        <f t="shared" si="138"/>
        <v>0</v>
      </c>
      <c r="AC571" s="176">
        <v>0.05</v>
      </c>
      <c r="AD571" s="177">
        <f t="shared" si="136"/>
        <v>0</v>
      </c>
      <c r="AE571" s="142"/>
      <c r="AG571" s="173">
        <v>0.42</v>
      </c>
      <c r="AH571" s="137">
        <f>AK571/(1+AG571)</f>
        <v>0</v>
      </c>
      <c r="AI571" s="147">
        <v>0</v>
      </c>
      <c r="AJ571" s="175">
        <f>T571*AG571</f>
        <v>0</v>
      </c>
      <c r="AK571" s="147">
        <v>0</v>
      </c>
      <c r="AL571" s="175">
        <f t="shared" si="137"/>
        <v>0</v>
      </c>
      <c r="AM571" s="147">
        <f>IF(O571="折扣",AK571*P571,IF(O571="返现",AK571/(1+AG571),AK571/(1+P571+AG571)))</f>
        <v>0</v>
      </c>
    </row>
    <row r="572" spans="1:40" x14ac:dyDescent="0.25">
      <c r="A572" s="123" t="s">
        <v>304</v>
      </c>
      <c r="B572" s="142" t="s">
        <v>71</v>
      </c>
      <c r="C572" s="142" t="s">
        <v>100</v>
      </c>
      <c r="D572" s="142" t="s">
        <v>101</v>
      </c>
      <c r="E572" s="142" t="s">
        <v>112</v>
      </c>
      <c r="F572" s="142" t="s">
        <v>113</v>
      </c>
      <c r="G572" s="142" t="s">
        <v>76</v>
      </c>
      <c r="H572" s="142" t="s">
        <v>298</v>
      </c>
      <c r="I572" s="142" t="s">
        <v>78</v>
      </c>
      <c r="J572" s="142" t="s">
        <v>78</v>
      </c>
      <c r="K572" s="142" t="s">
        <v>3</v>
      </c>
      <c r="L572" s="142" t="s">
        <v>112</v>
      </c>
      <c r="M572" s="142"/>
      <c r="N572" s="142" t="s">
        <v>86</v>
      </c>
      <c r="O572" s="142" t="s">
        <v>81</v>
      </c>
      <c r="P572" s="173">
        <v>0</v>
      </c>
      <c r="Q572" s="174"/>
      <c r="R572" s="142"/>
      <c r="S572" s="147">
        <v>68893.250000000015</v>
      </c>
      <c r="T572" s="147"/>
      <c r="U572" s="147">
        <v>0</v>
      </c>
      <c r="V572" s="175">
        <f t="shared" si="133"/>
        <v>68893.250000000015</v>
      </c>
      <c r="W572" s="175">
        <f>IF(O572="折扣",U572*P572,IF(O572="返现",U572,U572*(1+AG572)/(1+P572+AG572)))</f>
        <v>0</v>
      </c>
      <c r="X572" s="142"/>
      <c r="Y572" s="50">
        <f t="shared" si="123"/>
        <v>0</v>
      </c>
      <c r="Z572" s="50">
        <f t="shared" si="139"/>
        <v>0</v>
      </c>
      <c r="AA572" s="147">
        <f t="shared" si="132"/>
        <v>0</v>
      </c>
      <c r="AB572" s="175">
        <f t="shared" si="138"/>
        <v>0</v>
      </c>
      <c r="AC572" s="176">
        <v>0.05</v>
      </c>
      <c r="AD572" s="177">
        <f t="shared" si="136"/>
        <v>0</v>
      </c>
      <c r="AE572" s="142"/>
      <c r="AG572" s="173">
        <v>0</v>
      </c>
      <c r="AH572" s="137">
        <f>AK572/(1+AG572)</f>
        <v>0</v>
      </c>
      <c r="AI572" s="147">
        <v>0</v>
      </c>
      <c r="AJ572" s="175">
        <f>T572*AG572</f>
        <v>0</v>
      </c>
      <c r="AK572" s="147">
        <v>0</v>
      </c>
      <c r="AL572" s="175">
        <f t="shared" si="137"/>
        <v>0</v>
      </c>
      <c r="AM572" s="147">
        <f>IF(O572="折扣",AK572*P572,IF(O572="返现",AK572/(1+AG572),AK572/(1+P572+AG572)))</f>
        <v>0</v>
      </c>
    </row>
    <row r="573" spans="1:40" x14ac:dyDescent="0.25">
      <c r="A573" s="123" t="s">
        <v>304</v>
      </c>
      <c r="B573" s="142" t="s">
        <v>71</v>
      </c>
      <c r="C573" s="142" t="s">
        <v>90</v>
      </c>
      <c r="D573" s="142" t="s">
        <v>105</v>
      </c>
      <c r="E573" s="142" t="s">
        <v>106</v>
      </c>
      <c r="F573" s="142" t="s">
        <v>107</v>
      </c>
      <c r="G573" s="142" t="s">
        <v>76</v>
      </c>
      <c r="H573" s="142" t="s">
        <v>298</v>
      </c>
      <c r="I573" s="142" t="s">
        <v>78</v>
      </c>
      <c r="J573" s="142" t="s">
        <v>78</v>
      </c>
      <c r="K573" s="142" t="s">
        <v>3</v>
      </c>
      <c r="L573" s="142" t="s">
        <v>106</v>
      </c>
      <c r="M573" s="142"/>
      <c r="N573" s="142" t="s">
        <v>80</v>
      </c>
      <c r="O573" s="142" t="s">
        <v>81</v>
      </c>
      <c r="P573" s="173">
        <v>0</v>
      </c>
      <c r="Q573" s="174"/>
      <c r="R573" s="142"/>
      <c r="S573" s="147">
        <v>7741.65</v>
      </c>
      <c r="T573" s="147"/>
      <c r="U573" s="147">
        <v>0</v>
      </c>
      <c r="V573" s="175">
        <f t="shared" si="133"/>
        <v>7741.65</v>
      </c>
      <c r="W573" s="175">
        <f>IF(O573="折扣",U573*P573,IF(O573="返现",U573,U573*(1+AG573)/(1+P573+AG573)))</f>
        <v>0</v>
      </c>
      <c r="X573" s="142"/>
      <c r="Y573" s="50">
        <f t="shared" si="123"/>
        <v>0</v>
      </c>
      <c r="Z573" s="50">
        <f t="shared" si="139"/>
        <v>0</v>
      </c>
      <c r="AA573" s="147">
        <f t="shared" si="132"/>
        <v>0</v>
      </c>
      <c r="AB573" s="175">
        <f t="shared" si="138"/>
        <v>0</v>
      </c>
      <c r="AC573" s="176">
        <v>0.05</v>
      </c>
      <c r="AD573" s="177">
        <f t="shared" si="136"/>
        <v>0</v>
      </c>
      <c r="AE573" s="142"/>
      <c r="AG573" s="173">
        <v>0.42</v>
      </c>
      <c r="AH573" s="137">
        <f>AK573/(1+AG573)</f>
        <v>0</v>
      </c>
      <c r="AI573" s="147">
        <v>0</v>
      </c>
      <c r="AJ573" s="175">
        <f>T573*AG573</f>
        <v>0</v>
      </c>
      <c r="AK573" s="147">
        <v>0</v>
      </c>
      <c r="AL573" s="175">
        <f t="shared" si="137"/>
        <v>0</v>
      </c>
      <c r="AM573" s="147">
        <f>IF(O573="折扣",AK573*P573,IF(O573="返现",AK573/(1+AG573),AK573/(1+P573+AG573)))</f>
        <v>0</v>
      </c>
    </row>
    <row r="574" spans="1:40" x14ac:dyDescent="0.25">
      <c r="A574" s="123" t="s">
        <v>304</v>
      </c>
      <c r="B574" s="142" t="s">
        <v>71</v>
      </c>
      <c r="C574" s="142" t="s">
        <v>90</v>
      </c>
      <c r="D574" s="142" t="s">
        <v>91</v>
      </c>
      <c r="E574" s="142" t="s">
        <v>103</v>
      </c>
      <c r="F574" s="142" t="s">
        <v>104</v>
      </c>
      <c r="G574" s="142" t="s">
        <v>76</v>
      </c>
      <c r="H574" s="142" t="s">
        <v>298</v>
      </c>
      <c r="I574" s="142" t="s">
        <v>78</v>
      </c>
      <c r="J574" s="142" t="s">
        <v>78</v>
      </c>
      <c r="K574" s="142" t="s">
        <v>3</v>
      </c>
      <c r="L574" s="142" t="s">
        <v>103</v>
      </c>
      <c r="M574" s="142"/>
      <c r="N574" s="142" t="s">
        <v>86</v>
      </c>
      <c r="O574" s="142" t="s">
        <v>94</v>
      </c>
      <c r="P574" s="173">
        <v>0.02</v>
      </c>
      <c r="Q574" s="174"/>
      <c r="R574" s="142"/>
      <c r="S574" s="147">
        <v>106099.63</v>
      </c>
      <c r="T574" s="147"/>
      <c r="U574" s="147">
        <v>0</v>
      </c>
      <c r="V574" s="175">
        <f t="shared" si="133"/>
        <v>106099.63</v>
      </c>
      <c r="W574" s="175">
        <f>IF(O574="折扣",U574*P574,IF(O574="返现",U574,U574*(1+AG574)/(1+P574+AG574)))</f>
        <v>0</v>
      </c>
      <c r="X574" s="142"/>
      <c r="Y574" s="50">
        <f t="shared" si="123"/>
        <v>0</v>
      </c>
      <c r="Z574" s="50">
        <f t="shared" si="139"/>
        <v>0</v>
      </c>
      <c r="AA574" s="147">
        <f t="shared" si="132"/>
        <v>0</v>
      </c>
      <c r="AB574" s="175">
        <f t="shared" si="138"/>
        <v>0</v>
      </c>
      <c r="AC574" s="176">
        <v>0.05</v>
      </c>
      <c r="AD574" s="177">
        <f t="shared" si="136"/>
        <v>0</v>
      </c>
      <c r="AE574" s="142"/>
      <c r="AG574" s="173">
        <v>0.42</v>
      </c>
      <c r="AH574" s="137">
        <f>AK574/(1+AG574)</f>
        <v>0</v>
      </c>
      <c r="AI574" s="147">
        <v>0</v>
      </c>
      <c r="AJ574" s="175">
        <f>T574*AG574</f>
        <v>0</v>
      </c>
      <c r="AK574" s="147">
        <v>0</v>
      </c>
      <c r="AL574" s="175">
        <f t="shared" si="137"/>
        <v>0</v>
      </c>
      <c r="AM574" s="147">
        <f>IF(O574="折扣",AK574*P574,IF(O574="返现",AK574/(1+AG574),AK574/(1+P574+AG574)))</f>
        <v>0</v>
      </c>
    </row>
    <row r="575" spans="1:40" x14ac:dyDescent="0.25">
      <c r="A575" s="123" t="s">
        <v>304</v>
      </c>
      <c r="B575" s="142" t="s">
        <v>71</v>
      </c>
      <c r="C575" s="142" t="s">
        <v>72</v>
      </c>
      <c r="D575" s="142" t="s">
        <v>122</v>
      </c>
      <c r="E575" s="142" t="s">
        <v>123</v>
      </c>
      <c r="F575" s="142" t="s">
        <v>124</v>
      </c>
      <c r="G575" s="142" t="s">
        <v>76</v>
      </c>
      <c r="H575" s="142" t="s">
        <v>298</v>
      </c>
      <c r="I575" s="142" t="s">
        <v>78</v>
      </c>
      <c r="J575" s="142" t="s">
        <v>78</v>
      </c>
      <c r="K575" s="142" t="s">
        <v>3</v>
      </c>
      <c r="L575" s="142" t="s">
        <v>125</v>
      </c>
      <c r="M575" s="142"/>
      <c r="N575" s="142" t="s">
        <v>126</v>
      </c>
      <c r="O575" s="142" t="s">
        <v>94</v>
      </c>
      <c r="P575" s="173">
        <v>0.18</v>
      </c>
      <c r="Q575" s="174"/>
      <c r="R575" s="142"/>
      <c r="S575" s="147">
        <v>56718.13</v>
      </c>
      <c r="T575" s="147"/>
      <c r="U575" s="147">
        <v>0</v>
      </c>
      <c r="V575" s="175">
        <f t="shared" si="133"/>
        <v>56718.13</v>
      </c>
      <c r="W575" s="175">
        <f>IF(O575="折扣",U575*P575,IF(O575="返现",U575,U575*(1+AG575)/(1+P575+AG575)))</f>
        <v>0</v>
      </c>
      <c r="X575" s="142"/>
      <c r="Y575" s="50">
        <f t="shared" si="123"/>
        <v>0</v>
      </c>
      <c r="Z575" s="50">
        <f t="shared" si="139"/>
        <v>0</v>
      </c>
      <c r="AA575" s="147">
        <f t="shared" si="132"/>
        <v>0</v>
      </c>
      <c r="AB575" s="175">
        <f t="shared" si="138"/>
        <v>0</v>
      </c>
      <c r="AC575" s="176">
        <v>0.05</v>
      </c>
      <c r="AD575" s="177">
        <f t="shared" si="136"/>
        <v>0</v>
      </c>
      <c r="AE575" s="142"/>
      <c r="AG575" s="173">
        <v>0.42</v>
      </c>
      <c r="AH575" s="137">
        <f>AK575/(1+AG575)</f>
        <v>0</v>
      </c>
      <c r="AI575" s="147">
        <v>-31596.52</v>
      </c>
      <c r="AJ575" s="175">
        <f>T575*AG575</f>
        <v>0</v>
      </c>
      <c r="AK575" s="147">
        <v>0</v>
      </c>
      <c r="AL575" s="175">
        <f t="shared" si="137"/>
        <v>-31596.52</v>
      </c>
      <c r="AM575" s="147">
        <f>IF(O575="折扣",AK575*P575,IF(O575="返现",AK575/(1+AG575),AK575/(1+P575+AG575)))</f>
        <v>0</v>
      </c>
    </row>
    <row r="576" spans="1:40" x14ac:dyDescent="0.25">
      <c r="A576" s="123" t="s">
        <v>304</v>
      </c>
      <c r="B576" s="142" t="s">
        <v>71</v>
      </c>
      <c r="C576" s="142" t="s">
        <v>72</v>
      </c>
      <c r="D576" s="142" t="s">
        <v>73</v>
      </c>
      <c r="E576" s="142" t="s">
        <v>74</v>
      </c>
      <c r="F576" s="142" t="s">
        <v>75</v>
      </c>
      <c r="G576" s="142" t="s">
        <v>76</v>
      </c>
      <c r="H576" s="142" t="s">
        <v>298</v>
      </c>
      <c r="I576" s="142" t="s">
        <v>78</v>
      </c>
      <c r="J576" s="142" t="s">
        <v>78</v>
      </c>
      <c r="K576" s="142" t="s">
        <v>3</v>
      </c>
      <c r="L576" s="142" t="s">
        <v>74</v>
      </c>
      <c r="M576" s="142"/>
      <c r="N576" s="142" t="s">
        <v>86</v>
      </c>
      <c r="O576" s="142" t="s">
        <v>94</v>
      </c>
      <c r="P576" s="173">
        <v>0.03</v>
      </c>
      <c r="Q576" s="174"/>
      <c r="R576" s="142"/>
      <c r="S576" s="147">
        <v>15888.8300000003</v>
      </c>
      <c r="T576" s="147"/>
      <c r="U576" s="147">
        <v>0</v>
      </c>
      <c r="V576" s="175">
        <f t="shared" si="133"/>
        <v>15888.8300000003</v>
      </c>
      <c r="W576" s="175">
        <f>IF(O576="折扣",U576*P576,IF(O576="返现",U576,U576*(1+AG576)/(1+P576+AG576)))</f>
        <v>0</v>
      </c>
      <c r="X576" s="142"/>
      <c r="Y576" s="50">
        <f t="shared" si="123"/>
        <v>0</v>
      </c>
      <c r="Z576" s="50">
        <f t="shared" si="139"/>
        <v>0</v>
      </c>
      <c r="AA576" s="147">
        <f t="shared" si="132"/>
        <v>0</v>
      </c>
      <c r="AB576" s="175">
        <f t="shared" si="138"/>
        <v>0</v>
      </c>
      <c r="AC576" s="176">
        <v>0.05</v>
      </c>
      <c r="AD576" s="177">
        <f t="shared" si="136"/>
        <v>0</v>
      </c>
      <c r="AE576" s="142"/>
      <c r="AG576" s="173">
        <v>7.0000000000000007E-2</v>
      </c>
      <c r="AH576" s="137">
        <f>AK576/(1+AG576)</f>
        <v>0</v>
      </c>
      <c r="AI576" s="147">
        <v>-0.72000000000000097</v>
      </c>
      <c r="AJ576" s="175">
        <f>T576*AG576</f>
        <v>0</v>
      </c>
      <c r="AK576" s="147">
        <v>0</v>
      </c>
      <c r="AL576" s="175">
        <f t="shared" si="137"/>
        <v>-0.72000000000000097</v>
      </c>
      <c r="AM576" s="147">
        <f>IF(O576="折扣",AK576*P576,IF(O576="返现",AK576/(1+AG576),AK576/(1+P576+AG576)))</f>
        <v>0</v>
      </c>
    </row>
    <row r="577" spans="1:39" x14ac:dyDescent="0.25">
      <c r="A577" s="123" t="s">
        <v>304</v>
      </c>
      <c r="B577" s="142" t="s">
        <v>71</v>
      </c>
      <c r="C577" s="142" t="s">
        <v>72</v>
      </c>
      <c r="D577" s="142" t="s">
        <v>73</v>
      </c>
      <c r="E577" s="142" t="s">
        <v>74</v>
      </c>
      <c r="F577" s="142" t="s">
        <v>75</v>
      </c>
      <c r="G577" s="142" t="s">
        <v>76</v>
      </c>
      <c r="H577" s="142" t="s">
        <v>298</v>
      </c>
      <c r="I577" s="142" t="s">
        <v>78</v>
      </c>
      <c r="J577" s="142" t="s">
        <v>78</v>
      </c>
      <c r="K577" s="142" t="s">
        <v>3</v>
      </c>
      <c r="L577" s="142" t="s">
        <v>74</v>
      </c>
      <c r="M577" s="142"/>
      <c r="N577" s="142" t="s">
        <v>80</v>
      </c>
      <c r="O577" s="142" t="s">
        <v>94</v>
      </c>
      <c r="P577" s="173">
        <v>0.03</v>
      </c>
      <c r="Q577" s="174"/>
      <c r="R577" s="142"/>
      <c r="S577" s="147">
        <v>2383.1799999999998</v>
      </c>
      <c r="T577" s="147"/>
      <c r="U577" s="147">
        <v>0</v>
      </c>
      <c r="V577" s="175">
        <f t="shared" si="133"/>
        <v>2383.1799999999998</v>
      </c>
      <c r="W577" s="175">
        <f>IF(O577="折扣",U577*P577,IF(O577="返现",U577,U577*(1+AG577)/(1+P577+AG577)))</f>
        <v>0</v>
      </c>
      <c r="X577" s="142"/>
      <c r="Y577" s="50">
        <f t="shared" si="123"/>
        <v>0</v>
      </c>
      <c r="Z577" s="50">
        <f t="shared" si="139"/>
        <v>0</v>
      </c>
      <c r="AA577" s="147">
        <f t="shared" si="132"/>
        <v>0</v>
      </c>
      <c r="AB577" s="175">
        <f t="shared" si="138"/>
        <v>0</v>
      </c>
      <c r="AC577" s="176">
        <v>0.05</v>
      </c>
      <c r="AD577" s="177">
        <f t="shared" si="136"/>
        <v>0</v>
      </c>
      <c r="AE577" s="142"/>
      <c r="AG577" s="173">
        <v>7.0000000000000007E-2</v>
      </c>
      <c r="AH577" s="137">
        <f>AK577/(1+AG577)</f>
        <v>0</v>
      </c>
      <c r="AI577" s="147">
        <v>0</v>
      </c>
      <c r="AJ577" s="175">
        <f>T577*AG577</f>
        <v>0</v>
      </c>
      <c r="AK577" s="147">
        <v>0</v>
      </c>
      <c r="AL577" s="175">
        <f t="shared" si="137"/>
        <v>0</v>
      </c>
      <c r="AM577" s="147">
        <f>IF(O577="折扣",AK577*P577,IF(O577="返现",AK577/(1+AG577),AK577/(1+P577+AG577)))</f>
        <v>0</v>
      </c>
    </row>
    <row r="578" spans="1:39" x14ac:dyDescent="0.25">
      <c r="A578" s="123" t="s">
        <v>304</v>
      </c>
      <c r="B578" s="142" t="s">
        <v>71</v>
      </c>
      <c r="C578" s="142" t="s">
        <v>82</v>
      </c>
      <c r="D578" s="142" t="s">
        <v>117</v>
      </c>
      <c r="E578" s="142" t="s">
        <v>118</v>
      </c>
      <c r="F578" s="142" t="s">
        <v>119</v>
      </c>
      <c r="G578" s="142" t="s">
        <v>76</v>
      </c>
      <c r="H578" s="142" t="s">
        <v>298</v>
      </c>
      <c r="I578" s="142" t="s">
        <v>78</v>
      </c>
      <c r="J578" s="142" t="s">
        <v>78</v>
      </c>
      <c r="K578" s="142" t="s">
        <v>3</v>
      </c>
      <c r="L578" s="142" t="s">
        <v>120</v>
      </c>
      <c r="M578" s="142"/>
      <c r="N578" s="142" t="s">
        <v>80</v>
      </c>
      <c r="O578" s="142" t="s">
        <v>94</v>
      </c>
      <c r="P578" s="173">
        <v>0.05</v>
      </c>
      <c r="Q578" s="174"/>
      <c r="R578" s="142"/>
      <c r="S578" s="147">
        <v>1766.24</v>
      </c>
      <c r="T578" s="147"/>
      <c r="U578" s="147">
        <v>0</v>
      </c>
      <c r="V578" s="175">
        <f t="shared" si="133"/>
        <v>1766.24</v>
      </c>
      <c r="W578" s="175">
        <f>IF(O578="折扣",U578*P578,IF(O578="返现",U578,U578*(1+AG578)/(1+P578+AG578)))</f>
        <v>0</v>
      </c>
      <c r="X578" s="142"/>
      <c r="Y578" s="50">
        <f t="shared" ref="Y578:Y624" si="140">IF(W578-AB578&lt;0,0,IF(O578="返现",MAX(W578-AA578-AB578,0),MAX(W578-AB578,0)))</f>
        <v>0</v>
      </c>
      <c r="Z578" s="50">
        <f t="shared" si="139"/>
        <v>0</v>
      </c>
      <c r="AA578" s="147">
        <f t="shared" si="132"/>
        <v>0</v>
      </c>
      <c r="AB578" s="175">
        <f t="shared" si="138"/>
        <v>0</v>
      </c>
      <c r="AC578" s="176">
        <v>0.05</v>
      </c>
      <c r="AD578" s="177">
        <f t="shared" si="136"/>
        <v>0</v>
      </c>
      <c r="AE578" s="142"/>
      <c r="AG578" s="173">
        <v>0.42</v>
      </c>
      <c r="AH578" s="137">
        <f>AK578/(1+AG578)</f>
        <v>0</v>
      </c>
      <c r="AI578" s="147">
        <v>0</v>
      </c>
      <c r="AJ578" s="175">
        <f>T578*AG578</f>
        <v>0</v>
      </c>
      <c r="AK578" s="147">
        <v>0</v>
      </c>
      <c r="AL578" s="175">
        <f t="shared" si="137"/>
        <v>0</v>
      </c>
      <c r="AM578" s="147">
        <f>IF(O578="折扣",AK578*P578,IF(O578="返现",AK578/(1+AG578),AK578/(1+P578+AG578)))</f>
        <v>0</v>
      </c>
    </row>
    <row r="579" spans="1:39" x14ac:dyDescent="0.25">
      <c r="A579" s="123" t="s">
        <v>304</v>
      </c>
      <c r="B579" s="142" t="s">
        <v>71</v>
      </c>
      <c r="C579" s="142" t="s">
        <v>127</v>
      </c>
      <c r="D579" s="142" t="s">
        <v>128</v>
      </c>
      <c r="E579" s="142" t="s">
        <v>129</v>
      </c>
      <c r="F579" s="142" t="s">
        <v>130</v>
      </c>
      <c r="G579" s="142" t="s">
        <v>76</v>
      </c>
      <c r="H579" s="142" t="s">
        <v>298</v>
      </c>
      <c r="I579" s="142" t="s">
        <v>78</v>
      </c>
      <c r="J579" s="142" t="s">
        <v>78</v>
      </c>
      <c r="K579" s="142" t="s">
        <v>3</v>
      </c>
      <c r="L579" s="142" t="s">
        <v>125</v>
      </c>
      <c r="M579" s="142"/>
      <c r="N579" s="142" t="s">
        <v>126</v>
      </c>
      <c r="O579" s="142" t="s">
        <v>94</v>
      </c>
      <c r="P579" s="173">
        <v>0.18</v>
      </c>
      <c r="Q579" s="174"/>
      <c r="R579" s="142"/>
      <c r="S579" s="147">
        <v>8102.9149295775096</v>
      </c>
      <c r="T579" s="147"/>
      <c r="U579" s="147">
        <v>0</v>
      </c>
      <c r="V579" s="175">
        <f t="shared" si="133"/>
        <v>8102.9149295775096</v>
      </c>
      <c r="W579" s="175">
        <f>IF(O579="折扣",U579*P579,IF(O579="返现",U579,U579*(1+AG579)/(1+P579+AG579)))</f>
        <v>0</v>
      </c>
      <c r="X579" s="142"/>
      <c r="Y579" s="50">
        <f t="shared" si="140"/>
        <v>0</v>
      </c>
      <c r="Z579" s="50">
        <f t="shared" si="139"/>
        <v>0</v>
      </c>
      <c r="AA579" s="147">
        <f t="shared" si="132"/>
        <v>0</v>
      </c>
      <c r="AB579" s="175">
        <f t="shared" si="138"/>
        <v>0</v>
      </c>
      <c r="AC579" s="176">
        <v>0.05</v>
      </c>
      <c r="AD579" s="177">
        <f t="shared" si="136"/>
        <v>0</v>
      </c>
      <c r="AE579" s="142"/>
      <c r="AG579" s="173">
        <v>0.42</v>
      </c>
      <c r="AH579" s="137">
        <f>AK579/(1+AG579)</f>
        <v>0</v>
      </c>
      <c r="AI579" s="147">
        <v>0</v>
      </c>
      <c r="AJ579" s="175">
        <f>T579*AG579</f>
        <v>0</v>
      </c>
      <c r="AK579" s="147">
        <v>0</v>
      </c>
      <c r="AL579" s="175">
        <f t="shared" si="137"/>
        <v>0</v>
      </c>
      <c r="AM579" s="147">
        <f>IF(O579="折扣",AK579*P579,IF(O579="返现",AK579/(1+AG579),AK579/(1+P579+AG579)))</f>
        <v>0</v>
      </c>
    </row>
    <row r="580" spans="1:39" x14ac:dyDescent="0.25">
      <c r="A580" s="123" t="s">
        <v>304</v>
      </c>
      <c r="B580" s="142" t="s">
        <v>71</v>
      </c>
      <c r="C580" s="142" t="s">
        <v>127</v>
      </c>
      <c r="D580" s="142" t="s">
        <v>128</v>
      </c>
      <c r="E580" s="142" t="s">
        <v>151</v>
      </c>
      <c r="F580" s="142" t="s">
        <v>152</v>
      </c>
      <c r="G580" s="142" t="s">
        <v>76</v>
      </c>
      <c r="H580" s="142" t="s">
        <v>298</v>
      </c>
      <c r="I580" s="142" t="s">
        <v>78</v>
      </c>
      <c r="J580" s="142" t="s">
        <v>78</v>
      </c>
      <c r="K580" s="142" t="s">
        <v>3</v>
      </c>
      <c r="L580" s="142" t="s">
        <v>125</v>
      </c>
      <c r="M580" s="142"/>
      <c r="N580" s="142" t="s">
        <v>126</v>
      </c>
      <c r="O580" s="142" t="s">
        <v>94</v>
      </c>
      <c r="P580" s="173">
        <v>0.23</v>
      </c>
      <c r="Q580" s="174"/>
      <c r="R580" s="142"/>
      <c r="S580" s="147">
        <v>2063.5353521120301</v>
      </c>
      <c r="T580" s="147"/>
      <c r="U580" s="147">
        <v>0</v>
      </c>
      <c r="V580" s="175">
        <f t="shared" si="133"/>
        <v>2063.5353521120301</v>
      </c>
      <c r="W580" s="175">
        <f>IF(O580="折扣",U580*P580,IF(O580="返现",U580,U580*(1+AG580)/(1+P580+AG580)))</f>
        <v>0</v>
      </c>
      <c r="X580" s="142"/>
      <c r="Y580" s="50">
        <f t="shared" si="140"/>
        <v>0</v>
      </c>
      <c r="Z580" s="50">
        <f t="shared" si="139"/>
        <v>0</v>
      </c>
      <c r="AA580" s="147">
        <f t="shared" si="132"/>
        <v>0</v>
      </c>
      <c r="AB580" s="175">
        <f t="shared" si="138"/>
        <v>0</v>
      </c>
      <c r="AC580" s="176">
        <v>0.05</v>
      </c>
      <c r="AD580" s="177">
        <f t="shared" si="136"/>
        <v>0</v>
      </c>
      <c r="AE580" s="142"/>
      <c r="AG580" s="173">
        <v>0.42</v>
      </c>
      <c r="AH580" s="137">
        <f>AK580/(1+AG580)</f>
        <v>0</v>
      </c>
      <c r="AI580" s="147">
        <v>0</v>
      </c>
      <c r="AJ580" s="175">
        <f>T580*AG580</f>
        <v>0</v>
      </c>
      <c r="AK580" s="147">
        <v>0</v>
      </c>
      <c r="AL580" s="175">
        <f t="shared" si="137"/>
        <v>0</v>
      </c>
      <c r="AM580" s="147">
        <f>IF(O580="折扣",AK580*P580,IF(O580="返现",AK580/(1+AG580),AK580/(1+P580+AG580)))</f>
        <v>0</v>
      </c>
    </row>
    <row r="581" spans="1:39" x14ac:dyDescent="0.25">
      <c r="A581" s="123" t="s">
        <v>304</v>
      </c>
      <c r="B581" s="142" t="s">
        <v>71</v>
      </c>
      <c r="C581" s="142" t="s">
        <v>127</v>
      </c>
      <c r="D581" s="142" t="s">
        <v>128</v>
      </c>
      <c r="E581" s="142" t="s">
        <v>131</v>
      </c>
      <c r="F581" s="142" t="s">
        <v>132</v>
      </c>
      <c r="G581" s="142" t="s">
        <v>76</v>
      </c>
      <c r="H581" s="142" t="s">
        <v>298</v>
      </c>
      <c r="I581" s="142" t="s">
        <v>78</v>
      </c>
      <c r="J581" s="142" t="s">
        <v>78</v>
      </c>
      <c r="K581" s="142" t="s">
        <v>3</v>
      </c>
      <c r="L581" s="142" t="s">
        <v>125</v>
      </c>
      <c r="M581" s="142"/>
      <c r="N581" s="142" t="s">
        <v>126</v>
      </c>
      <c r="O581" s="142" t="s">
        <v>94</v>
      </c>
      <c r="P581" s="173">
        <v>0.03</v>
      </c>
      <c r="Q581" s="174"/>
      <c r="R581" s="142"/>
      <c r="S581" s="147">
        <v>655.37999999978604</v>
      </c>
      <c r="T581" s="147"/>
      <c r="U581" s="147">
        <v>0</v>
      </c>
      <c r="V581" s="175">
        <f t="shared" si="133"/>
        <v>655.37999999978604</v>
      </c>
      <c r="W581" s="175">
        <f>IF(O581="折扣",U581*P581,IF(O581="返现",U581,U581*(1+AG581)/(1+P581+AG581)))</f>
        <v>0</v>
      </c>
      <c r="X581" s="142"/>
      <c r="Y581" s="50">
        <f t="shared" si="140"/>
        <v>0</v>
      </c>
      <c r="Z581" s="50">
        <f t="shared" si="139"/>
        <v>0</v>
      </c>
      <c r="AA581" s="147">
        <f t="shared" si="132"/>
        <v>0</v>
      </c>
      <c r="AB581" s="175">
        <f t="shared" si="138"/>
        <v>0</v>
      </c>
      <c r="AC581" s="176">
        <v>0.05</v>
      </c>
      <c r="AD581" s="177">
        <f t="shared" si="136"/>
        <v>0</v>
      </c>
      <c r="AE581" s="142"/>
      <c r="AG581" s="173">
        <v>0.42</v>
      </c>
      <c r="AH581" s="137">
        <f>AK581/(1+AG581)</f>
        <v>0</v>
      </c>
      <c r="AI581" s="147">
        <v>0</v>
      </c>
      <c r="AJ581" s="175">
        <f>T581*AG581</f>
        <v>0</v>
      </c>
      <c r="AK581" s="147">
        <v>0</v>
      </c>
      <c r="AL581" s="175">
        <f t="shared" si="137"/>
        <v>0</v>
      </c>
      <c r="AM581" s="147">
        <f>IF(O581="折扣",AK581*P581,IF(O581="返现",AK581/(1+AG581),AK581/(1+P581+AG581)))</f>
        <v>0</v>
      </c>
    </row>
    <row r="582" spans="1:39" x14ac:dyDescent="0.25">
      <c r="A582" s="123" t="s">
        <v>304</v>
      </c>
      <c r="B582" s="142" t="s">
        <v>71</v>
      </c>
      <c r="C582" s="142" t="s">
        <v>127</v>
      </c>
      <c r="D582" s="142" t="s">
        <v>128</v>
      </c>
      <c r="E582" s="142" t="s">
        <v>133</v>
      </c>
      <c r="F582" s="142" t="s">
        <v>134</v>
      </c>
      <c r="G582" s="142" t="s">
        <v>76</v>
      </c>
      <c r="H582" s="142" t="s">
        <v>298</v>
      </c>
      <c r="I582" s="142" t="s">
        <v>78</v>
      </c>
      <c r="J582" s="142" t="s">
        <v>78</v>
      </c>
      <c r="K582" s="142" t="s">
        <v>3</v>
      </c>
      <c r="L582" s="142" t="s">
        <v>125</v>
      </c>
      <c r="M582" s="142"/>
      <c r="N582" s="142" t="s">
        <v>126</v>
      </c>
      <c r="O582" s="142" t="s">
        <v>94</v>
      </c>
      <c r="P582" s="173">
        <v>0.22</v>
      </c>
      <c r="Q582" s="174"/>
      <c r="R582" s="142"/>
      <c r="S582" s="147">
        <v>354.84000000002601</v>
      </c>
      <c r="T582" s="147"/>
      <c r="U582" s="147">
        <v>0</v>
      </c>
      <c r="V582" s="175">
        <f t="shared" si="133"/>
        <v>354.84000000002601</v>
      </c>
      <c r="W582" s="175">
        <f>IF(O582="折扣",U582*P582,IF(O582="返现",U582,U582*(1+AG582)/(1+P582+AG582)))</f>
        <v>0</v>
      </c>
      <c r="X582" s="142"/>
      <c r="Y582" s="50">
        <f t="shared" si="140"/>
        <v>0</v>
      </c>
      <c r="Z582" s="50">
        <f t="shared" si="139"/>
        <v>0</v>
      </c>
      <c r="AA582" s="147">
        <f t="shared" si="132"/>
        <v>0</v>
      </c>
      <c r="AB582" s="175">
        <f t="shared" si="138"/>
        <v>0</v>
      </c>
      <c r="AC582" s="176">
        <v>0.05</v>
      </c>
      <c r="AD582" s="177">
        <f t="shared" si="136"/>
        <v>0</v>
      </c>
      <c r="AE582" s="142"/>
      <c r="AG582" s="173">
        <v>0.42</v>
      </c>
      <c r="AH582" s="137">
        <f>AK582/(1+AG582)</f>
        <v>0</v>
      </c>
      <c r="AI582" s="147">
        <v>0</v>
      </c>
      <c r="AJ582" s="175">
        <f>T582*AG582</f>
        <v>0</v>
      </c>
      <c r="AK582" s="147">
        <v>0</v>
      </c>
      <c r="AL582" s="175">
        <f t="shared" si="137"/>
        <v>0</v>
      </c>
      <c r="AM582" s="147">
        <f>IF(O582="折扣",AK582*P582,IF(O582="返现",AK582/(1+AG582),AK582/(1+P582+AG582)))</f>
        <v>0</v>
      </c>
    </row>
    <row r="583" spans="1:39" x14ac:dyDescent="0.25">
      <c r="A583" s="123" t="s">
        <v>304</v>
      </c>
      <c r="B583" s="142" t="s">
        <v>71</v>
      </c>
      <c r="C583" s="142" t="s">
        <v>127</v>
      </c>
      <c r="D583" s="142" t="s">
        <v>128</v>
      </c>
      <c r="E583" s="142" t="s">
        <v>138</v>
      </c>
      <c r="F583" s="142" t="s">
        <v>139</v>
      </c>
      <c r="G583" s="142" t="s">
        <v>76</v>
      </c>
      <c r="H583" s="142" t="s">
        <v>298</v>
      </c>
      <c r="I583" s="142" t="s">
        <v>78</v>
      </c>
      <c r="J583" s="142" t="s">
        <v>78</v>
      </c>
      <c r="K583" s="142" t="s">
        <v>3</v>
      </c>
      <c r="L583" s="142" t="s">
        <v>125</v>
      </c>
      <c r="M583" s="142"/>
      <c r="N583" s="142" t="s">
        <v>126</v>
      </c>
      <c r="O583" s="142" t="s">
        <v>94</v>
      </c>
      <c r="P583" s="173">
        <v>0.04</v>
      </c>
      <c r="Q583" s="174"/>
      <c r="R583" s="142"/>
      <c r="S583" s="147">
        <v>227.30774647876399</v>
      </c>
      <c r="T583" s="147"/>
      <c r="U583" s="147">
        <v>0</v>
      </c>
      <c r="V583" s="175">
        <f t="shared" si="133"/>
        <v>227.30774647876399</v>
      </c>
      <c r="W583" s="175">
        <f>IF(O583="折扣",U583*P583,IF(O583="返现",U583,U583*(1+AG583)/(1+P583+AG583)))</f>
        <v>0</v>
      </c>
      <c r="X583" s="142"/>
      <c r="Y583" s="50">
        <f t="shared" si="140"/>
        <v>0</v>
      </c>
      <c r="Z583" s="50">
        <f t="shared" si="139"/>
        <v>0</v>
      </c>
      <c r="AA583" s="147">
        <f t="shared" si="132"/>
        <v>0</v>
      </c>
      <c r="AB583" s="175">
        <f t="shared" si="138"/>
        <v>0</v>
      </c>
      <c r="AC583" s="176">
        <v>0.05</v>
      </c>
      <c r="AD583" s="177">
        <f t="shared" si="136"/>
        <v>0</v>
      </c>
      <c r="AE583" s="142"/>
      <c r="AG583" s="173">
        <v>0.42</v>
      </c>
      <c r="AH583" s="137">
        <f>AK583/(1+AG583)</f>
        <v>0</v>
      </c>
      <c r="AI583" s="147">
        <v>0</v>
      </c>
      <c r="AJ583" s="175">
        <f>T583*AG583</f>
        <v>0</v>
      </c>
      <c r="AK583" s="147">
        <v>0</v>
      </c>
      <c r="AL583" s="175">
        <f t="shared" si="137"/>
        <v>0</v>
      </c>
      <c r="AM583" s="147">
        <f>IF(O583="折扣",AK583*P583,IF(O583="返现",AK583/(1+AG583),AK583/(1+P583+AG583)))</f>
        <v>0</v>
      </c>
    </row>
    <row r="584" spans="1:39" x14ac:dyDescent="0.25">
      <c r="A584" s="123" t="s">
        <v>304</v>
      </c>
      <c r="B584" s="142" t="s">
        <v>71</v>
      </c>
      <c r="C584" s="142" t="s">
        <v>127</v>
      </c>
      <c r="D584" s="142" t="s">
        <v>128</v>
      </c>
      <c r="E584" s="142" t="s">
        <v>123</v>
      </c>
      <c r="F584" s="142" t="s">
        <v>140</v>
      </c>
      <c r="G584" s="142" t="s">
        <v>76</v>
      </c>
      <c r="H584" s="142" t="s">
        <v>298</v>
      </c>
      <c r="I584" s="142" t="s">
        <v>78</v>
      </c>
      <c r="J584" s="142" t="s">
        <v>78</v>
      </c>
      <c r="K584" s="142" t="s">
        <v>3</v>
      </c>
      <c r="L584" s="142" t="s">
        <v>125</v>
      </c>
      <c r="M584" s="142"/>
      <c r="N584" s="142" t="s">
        <v>126</v>
      </c>
      <c r="O584" s="142" t="s">
        <v>94</v>
      </c>
      <c r="P584" s="173">
        <v>0.23</v>
      </c>
      <c r="Q584" s="174"/>
      <c r="R584" s="142"/>
      <c r="S584" s="147">
        <v>152.264929577999</v>
      </c>
      <c r="T584" s="147"/>
      <c r="U584" s="147">
        <v>0</v>
      </c>
      <c r="V584" s="175">
        <f t="shared" si="133"/>
        <v>152.264929577999</v>
      </c>
      <c r="W584" s="175">
        <f>IF(O584="折扣",U584*P584,IF(O584="返现",U584,U584*(1+AG584)/(1+P584+AG584)))</f>
        <v>0</v>
      </c>
      <c r="X584" s="142"/>
      <c r="Y584" s="50">
        <f t="shared" si="140"/>
        <v>0</v>
      </c>
      <c r="Z584" s="50">
        <f t="shared" si="139"/>
        <v>0</v>
      </c>
      <c r="AA584" s="147">
        <f t="shared" si="132"/>
        <v>0</v>
      </c>
      <c r="AB584" s="175">
        <f t="shared" si="138"/>
        <v>0</v>
      </c>
      <c r="AC584" s="176">
        <v>0.05</v>
      </c>
      <c r="AD584" s="177">
        <f t="shared" si="136"/>
        <v>0</v>
      </c>
      <c r="AE584" s="142"/>
      <c r="AG584" s="173">
        <v>0.42</v>
      </c>
      <c r="AH584" s="137">
        <f>AK584/(1+AG584)</f>
        <v>0</v>
      </c>
      <c r="AI584" s="147">
        <v>0</v>
      </c>
      <c r="AJ584" s="175">
        <f>T584*AG584</f>
        <v>0</v>
      </c>
      <c r="AK584" s="147">
        <v>0</v>
      </c>
      <c r="AL584" s="175">
        <f t="shared" si="137"/>
        <v>0</v>
      </c>
      <c r="AM584" s="147">
        <f>IF(O584="折扣",AK584*P584,IF(O584="返现",AK584/(1+AG584),AK584/(1+P584+AG584)))</f>
        <v>0</v>
      </c>
    </row>
    <row r="585" spans="1:39" x14ac:dyDescent="0.25">
      <c r="A585" s="123" t="s">
        <v>304</v>
      </c>
      <c r="B585" s="142" t="s">
        <v>71</v>
      </c>
      <c r="C585" s="142" t="s">
        <v>127</v>
      </c>
      <c r="D585" s="142" t="s">
        <v>128</v>
      </c>
      <c r="E585" s="142" t="s">
        <v>141</v>
      </c>
      <c r="F585" s="142" t="s">
        <v>142</v>
      </c>
      <c r="G585" s="142" t="s">
        <v>76</v>
      </c>
      <c r="H585" s="142" t="s">
        <v>298</v>
      </c>
      <c r="I585" s="142" t="s">
        <v>78</v>
      </c>
      <c r="J585" s="142" t="s">
        <v>78</v>
      </c>
      <c r="K585" s="142" t="s">
        <v>3</v>
      </c>
      <c r="L585" s="142" t="s">
        <v>125</v>
      </c>
      <c r="M585" s="142"/>
      <c r="N585" s="142" t="s">
        <v>126</v>
      </c>
      <c r="O585" s="142" t="s">
        <v>94</v>
      </c>
      <c r="P585" s="173">
        <v>0.13</v>
      </c>
      <c r="Q585" s="174"/>
      <c r="R585" s="142"/>
      <c r="S585" s="147">
        <v>-30329.470000000099</v>
      </c>
      <c r="T585" s="147"/>
      <c r="U585" s="147">
        <v>0</v>
      </c>
      <c r="V585" s="175">
        <f t="shared" si="133"/>
        <v>-30329.470000000099</v>
      </c>
      <c r="W585" s="175">
        <f>IF(O585="折扣",U585*P585,IF(O585="返现",U585,U585*(1+AG585)/(1+P585+AG585)))</f>
        <v>0</v>
      </c>
      <c r="X585" s="142"/>
      <c r="Y585" s="50">
        <f t="shared" si="140"/>
        <v>0</v>
      </c>
      <c r="Z585" s="50">
        <f t="shared" si="139"/>
        <v>0</v>
      </c>
      <c r="AA585" s="147">
        <f t="shared" si="132"/>
        <v>0</v>
      </c>
      <c r="AB585" s="175">
        <f t="shared" si="138"/>
        <v>0</v>
      </c>
      <c r="AC585" s="176">
        <v>0.05</v>
      </c>
      <c r="AD585" s="177">
        <f t="shared" si="136"/>
        <v>0</v>
      </c>
      <c r="AE585" s="142"/>
      <c r="AG585" s="173">
        <v>0.42</v>
      </c>
      <c r="AH585" s="137">
        <f>AK585/(1+AG585)</f>
        <v>0</v>
      </c>
      <c r="AI585" s="147">
        <v>0</v>
      </c>
      <c r="AJ585" s="175">
        <f>T585*AG585</f>
        <v>0</v>
      </c>
      <c r="AK585" s="147">
        <v>0</v>
      </c>
      <c r="AL585" s="175">
        <f t="shared" si="137"/>
        <v>0</v>
      </c>
      <c r="AM585" s="147">
        <f>IF(O585="折扣",AK585*P585,IF(O585="返现",AK585/(1+AG585),AK585/(1+P585+AG585)))</f>
        <v>0</v>
      </c>
    </row>
    <row r="586" spans="1:39" x14ac:dyDescent="0.25">
      <c r="A586" s="123" t="s">
        <v>304</v>
      </c>
      <c r="B586" s="142" t="s">
        <v>71</v>
      </c>
      <c r="C586" s="142" t="s">
        <v>127</v>
      </c>
      <c r="D586" s="142" t="s">
        <v>128</v>
      </c>
      <c r="E586" s="142" t="s">
        <v>143</v>
      </c>
      <c r="F586" s="142" t="s">
        <v>144</v>
      </c>
      <c r="G586" s="142" t="s">
        <v>76</v>
      </c>
      <c r="H586" s="142" t="s">
        <v>298</v>
      </c>
      <c r="I586" s="142" t="s">
        <v>78</v>
      </c>
      <c r="J586" s="142" t="s">
        <v>78</v>
      </c>
      <c r="K586" s="142" t="s">
        <v>3</v>
      </c>
      <c r="L586" s="142" t="s">
        <v>125</v>
      </c>
      <c r="M586" s="142"/>
      <c r="N586" s="142" t="s">
        <v>126</v>
      </c>
      <c r="O586" s="142" t="s">
        <v>94</v>
      </c>
      <c r="P586" s="173">
        <v>0.03</v>
      </c>
      <c r="Q586" s="174"/>
      <c r="R586" s="142"/>
      <c r="S586" s="147">
        <v>425.555211267598</v>
      </c>
      <c r="T586" s="147"/>
      <c r="U586" s="147">
        <v>0</v>
      </c>
      <c r="V586" s="175">
        <f t="shared" si="133"/>
        <v>425.555211267598</v>
      </c>
      <c r="W586" s="175">
        <f>IF(O586="折扣",U586*P586,IF(O586="返现",U586,U586*(1+AG586)/(1+P586+AG586)))</f>
        <v>0</v>
      </c>
      <c r="X586" s="142"/>
      <c r="Y586" s="50">
        <f t="shared" si="140"/>
        <v>0</v>
      </c>
      <c r="Z586" s="50">
        <f t="shared" si="139"/>
        <v>0</v>
      </c>
      <c r="AA586" s="147">
        <f t="shared" si="132"/>
        <v>0</v>
      </c>
      <c r="AB586" s="175">
        <f t="shared" si="138"/>
        <v>0</v>
      </c>
      <c r="AC586" s="176">
        <v>0.05</v>
      </c>
      <c r="AD586" s="177">
        <f t="shared" si="136"/>
        <v>0</v>
      </c>
      <c r="AE586" s="142"/>
      <c r="AG586" s="173">
        <v>0.42</v>
      </c>
      <c r="AH586" s="137">
        <f>AK586/(1+AG586)</f>
        <v>0</v>
      </c>
      <c r="AI586" s="147">
        <v>0</v>
      </c>
      <c r="AJ586" s="175">
        <f>T586*AG586</f>
        <v>0</v>
      </c>
      <c r="AK586" s="147">
        <v>0</v>
      </c>
      <c r="AL586" s="175">
        <f t="shared" si="137"/>
        <v>0</v>
      </c>
      <c r="AM586" s="147">
        <f>IF(O586="折扣",AK586*P586,IF(O586="返现",AK586/(1+AG586),AK586/(1+P586+AG586)))</f>
        <v>0</v>
      </c>
    </row>
    <row r="587" spans="1:39" x14ac:dyDescent="0.25">
      <c r="A587" s="123" t="s">
        <v>304</v>
      </c>
      <c r="B587" s="142" t="s">
        <v>71</v>
      </c>
      <c r="C587" s="142" t="s">
        <v>127</v>
      </c>
      <c r="D587" s="142" t="s">
        <v>128</v>
      </c>
      <c r="E587" s="142" t="s">
        <v>145</v>
      </c>
      <c r="F587" s="142" t="s">
        <v>146</v>
      </c>
      <c r="G587" s="142" t="s">
        <v>76</v>
      </c>
      <c r="H587" s="142" t="s">
        <v>298</v>
      </c>
      <c r="I587" s="142" t="s">
        <v>78</v>
      </c>
      <c r="J587" s="142" t="s">
        <v>78</v>
      </c>
      <c r="K587" s="142" t="s">
        <v>3</v>
      </c>
      <c r="L587" s="142" t="s">
        <v>125</v>
      </c>
      <c r="M587" s="142"/>
      <c r="N587" s="142" t="s">
        <v>126</v>
      </c>
      <c r="O587" s="142" t="s">
        <v>94</v>
      </c>
      <c r="P587" s="173">
        <v>0.22</v>
      </c>
      <c r="Q587" s="174"/>
      <c r="R587" s="142"/>
      <c r="S587" s="147">
        <v>1402.38690140774</v>
      </c>
      <c r="T587" s="147"/>
      <c r="U587" s="147">
        <v>0</v>
      </c>
      <c r="V587" s="175">
        <f t="shared" si="133"/>
        <v>1402.38690140774</v>
      </c>
      <c r="W587" s="175">
        <f>IF(O587="折扣",U587*P587,IF(O587="返现",U587,U587*(1+AG587)/(1+P587+AG587)))</f>
        <v>0</v>
      </c>
      <c r="X587" s="142"/>
      <c r="Y587" s="50">
        <f t="shared" si="140"/>
        <v>0</v>
      </c>
      <c r="Z587" s="50">
        <f t="shared" si="139"/>
        <v>0</v>
      </c>
      <c r="AA587" s="147">
        <f t="shared" si="132"/>
        <v>0</v>
      </c>
      <c r="AB587" s="175">
        <f t="shared" si="138"/>
        <v>0</v>
      </c>
      <c r="AC587" s="176">
        <v>0.05</v>
      </c>
      <c r="AD587" s="177">
        <f t="shared" si="136"/>
        <v>0</v>
      </c>
      <c r="AE587" s="142"/>
      <c r="AG587" s="173">
        <v>0.42</v>
      </c>
      <c r="AH587" s="137">
        <f>AK587/(1+AG587)</f>
        <v>0</v>
      </c>
      <c r="AI587" s="147">
        <v>0</v>
      </c>
      <c r="AJ587" s="175">
        <f>T587*AG587</f>
        <v>0</v>
      </c>
      <c r="AK587" s="147">
        <v>0</v>
      </c>
      <c r="AL587" s="175">
        <f t="shared" si="137"/>
        <v>0</v>
      </c>
      <c r="AM587" s="147">
        <f>IF(O587="折扣",AK587*P587,IF(O587="返现",AK587/(1+AG587),AK587/(1+P587+AG587)))</f>
        <v>0</v>
      </c>
    </row>
    <row r="588" spans="1:39" x14ac:dyDescent="0.25">
      <c r="A588" s="123" t="s">
        <v>304</v>
      </c>
      <c r="B588" s="142" t="s">
        <v>71</v>
      </c>
      <c r="C588" s="142" t="s">
        <v>127</v>
      </c>
      <c r="D588" s="142" t="s">
        <v>128</v>
      </c>
      <c r="E588" s="142" t="s">
        <v>147</v>
      </c>
      <c r="F588" s="142" t="s">
        <v>148</v>
      </c>
      <c r="G588" s="142" t="s">
        <v>76</v>
      </c>
      <c r="H588" s="142" t="s">
        <v>298</v>
      </c>
      <c r="I588" s="142" t="s">
        <v>78</v>
      </c>
      <c r="J588" s="142" t="s">
        <v>78</v>
      </c>
      <c r="K588" s="142" t="s">
        <v>3</v>
      </c>
      <c r="L588" s="142" t="s">
        <v>125</v>
      </c>
      <c r="M588" s="142"/>
      <c r="N588" s="142" t="s">
        <v>126</v>
      </c>
      <c r="O588" s="142" t="s">
        <v>94</v>
      </c>
      <c r="P588" s="173">
        <v>0.23</v>
      </c>
      <c r="Q588" s="174"/>
      <c r="R588" s="142"/>
      <c r="S588" s="147">
        <v>12961.68</v>
      </c>
      <c r="T588" s="147"/>
      <c r="U588" s="147">
        <v>0</v>
      </c>
      <c r="V588" s="175">
        <f t="shared" si="133"/>
        <v>12961.68</v>
      </c>
      <c r="W588" s="175">
        <f>IF(O588="折扣",U588*P588,IF(O588="返现",U588,U588*(1+AG588)/(1+P588+AG588)))</f>
        <v>0</v>
      </c>
      <c r="X588" s="142"/>
      <c r="Y588" s="50">
        <f t="shared" si="140"/>
        <v>0</v>
      </c>
      <c r="Z588" s="50">
        <f t="shared" si="139"/>
        <v>0</v>
      </c>
      <c r="AA588" s="147">
        <f t="shared" si="132"/>
        <v>0</v>
      </c>
      <c r="AB588" s="175">
        <f t="shared" si="138"/>
        <v>0</v>
      </c>
      <c r="AC588" s="176">
        <v>0.05</v>
      </c>
      <c r="AD588" s="177">
        <f t="shared" si="136"/>
        <v>0</v>
      </c>
      <c r="AE588" s="142"/>
      <c r="AG588" s="173">
        <v>0.42</v>
      </c>
      <c r="AH588" s="137">
        <f>AK588/(1+AG588)</f>
        <v>0</v>
      </c>
      <c r="AI588" s="147">
        <v>0</v>
      </c>
      <c r="AJ588" s="175">
        <f>T588*AG588</f>
        <v>0</v>
      </c>
      <c r="AK588" s="147">
        <v>0</v>
      </c>
      <c r="AL588" s="175">
        <f t="shared" si="137"/>
        <v>0</v>
      </c>
      <c r="AM588" s="147">
        <f>IF(O588="折扣",AK588*P588,IF(O588="返现",AK588/(1+AG588),AK588/(1+P588+AG588)))</f>
        <v>0</v>
      </c>
    </row>
    <row r="589" spans="1:39" x14ac:dyDescent="0.25">
      <c r="A589" s="123" t="s">
        <v>304</v>
      </c>
      <c r="B589" s="142" t="s">
        <v>71</v>
      </c>
      <c r="C589" s="142" t="s">
        <v>127</v>
      </c>
      <c r="D589" s="142" t="s">
        <v>128</v>
      </c>
      <c r="E589" s="142" t="s">
        <v>149</v>
      </c>
      <c r="F589" s="142" t="s">
        <v>150</v>
      </c>
      <c r="G589" s="142" t="s">
        <v>76</v>
      </c>
      <c r="H589" s="142" t="s">
        <v>298</v>
      </c>
      <c r="I589" s="142" t="s">
        <v>78</v>
      </c>
      <c r="J589" s="142" t="s">
        <v>78</v>
      </c>
      <c r="K589" s="142" t="s">
        <v>3</v>
      </c>
      <c r="L589" s="142" t="s">
        <v>125</v>
      </c>
      <c r="M589" s="142"/>
      <c r="N589" s="142" t="s">
        <v>126</v>
      </c>
      <c r="O589" s="142" t="s">
        <v>94</v>
      </c>
      <c r="P589" s="173">
        <v>0.13</v>
      </c>
      <c r="Q589" s="174"/>
      <c r="R589" s="142"/>
      <c r="S589" s="147">
        <v>143.460985915328</v>
      </c>
      <c r="T589" s="147"/>
      <c r="U589" s="147">
        <v>0</v>
      </c>
      <c r="V589" s="175">
        <f t="shared" si="133"/>
        <v>143.460985915328</v>
      </c>
      <c r="W589" s="175">
        <f>IF(O589="折扣",U589*P589,IF(O589="返现",U589,U589*(1+AG589)/(1+P589+AG589)))</f>
        <v>0</v>
      </c>
      <c r="X589" s="142"/>
      <c r="Y589" s="50">
        <f t="shared" si="140"/>
        <v>0</v>
      </c>
      <c r="Z589" s="50">
        <f t="shared" si="139"/>
        <v>0</v>
      </c>
      <c r="AA589" s="147">
        <f t="shared" si="132"/>
        <v>0</v>
      </c>
      <c r="AB589" s="175">
        <f t="shared" si="138"/>
        <v>0</v>
      </c>
      <c r="AC589" s="176">
        <v>0.05</v>
      </c>
      <c r="AD589" s="177">
        <f t="shared" si="136"/>
        <v>0</v>
      </c>
      <c r="AE589" s="142"/>
      <c r="AG589" s="173">
        <v>0.42</v>
      </c>
      <c r="AH589" s="137">
        <f>AK589/(1+AG589)</f>
        <v>0</v>
      </c>
      <c r="AI589" s="147">
        <v>0</v>
      </c>
      <c r="AJ589" s="175">
        <f>T589*AG589</f>
        <v>0</v>
      </c>
      <c r="AK589" s="147">
        <v>0</v>
      </c>
      <c r="AL589" s="175">
        <f t="shared" si="137"/>
        <v>0</v>
      </c>
      <c r="AM589" s="147">
        <f>IF(O589="折扣",AK589*P589,IF(O589="返现",AK589/(1+AG589),AK589/(1+P589+AG589)))</f>
        <v>0</v>
      </c>
    </row>
    <row r="590" spans="1:39" x14ac:dyDescent="0.25">
      <c r="A590" s="123" t="s">
        <v>304</v>
      </c>
      <c r="B590" s="142" t="s">
        <v>71</v>
      </c>
      <c r="C590" s="142" t="s">
        <v>127</v>
      </c>
      <c r="D590" s="142" t="s">
        <v>153</v>
      </c>
      <c r="E590" s="142" t="s">
        <v>154</v>
      </c>
      <c r="F590" s="142" t="s">
        <v>155</v>
      </c>
      <c r="G590" s="142" t="s">
        <v>76</v>
      </c>
      <c r="H590" s="142" t="s">
        <v>298</v>
      </c>
      <c r="I590" s="142" t="s">
        <v>78</v>
      </c>
      <c r="J590" s="142" t="s">
        <v>78</v>
      </c>
      <c r="K590" s="142" t="s">
        <v>3</v>
      </c>
      <c r="L590" s="142" t="s">
        <v>125</v>
      </c>
      <c r="M590" s="142"/>
      <c r="N590" s="142" t="s">
        <v>126</v>
      </c>
      <c r="O590" s="142" t="s">
        <v>94</v>
      </c>
      <c r="P590" s="173">
        <v>0.18</v>
      </c>
      <c r="Q590" s="174"/>
      <c r="R590" s="142"/>
      <c r="S590" s="147">
        <v>42851.614929577998</v>
      </c>
      <c r="T590" s="147"/>
      <c r="U590" s="147">
        <v>0</v>
      </c>
      <c r="V590" s="175">
        <f t="shared" si="133"/>
        <v>42851.614929577998</v>
      </c>
      <c r="W590" s="175">
        <f>IF(O590="折扣",U590*P590,IF(O590="返现",U590,U590*(1+AG590)/(1+P590+AG590)))</f>
        <v>0</v>
      </c>
      <c r="X590" s="142"/>
      <c r="Y590" s="50">
        <f t="shared" si="140"/>
        <v>0</v>
      </c>
      <c r="Z590" s="50">
        <f t="shared" si="139"/>
        <v>0</v>
      </c>
      <c r="AA590" s="147">
        <f t="shared" si="132"/>
        <v>0</v>
      </c>
      <c r="AB590" s="175">
        <f t="shared" si="138"/>
        <v>0</v>
      </c>
      <c r="AC590" s="176">
        <v>0.05</v>
      </c>
      <c r="AD590" s="177">
        <f t="shared" si="136"/>
        <v>0</v>
      </c>
      <c r="AE590" s="142"/>
      <c r="AG590" s="173">
        <v>0.42</v>
      </c>
      <c r="AH590" s="137">
        <f>AK590/(1+AG590)</f>
        <v>0</v>
      </c>
      <c r="AI590" s="147">
        <v>29942.36</v>
      </c>
      <c r="AJ590" s="175">
        <f>T590*AG590</f>
        <v>0</v>
      </c>
      <c r="AK590" s="147">
        <v>0</v>
      </c>
      <c r="AL590" s="175">
        <f t="shared" si="137"/>
        <v>29942.36</v>
      </c>
      <c r="AM590" s="147">
        <f>IF(O590="折扣",AK590*P590,IF(O590="返现",AK590/(1+AG590),AK590/(1+P590+AG590)))</f>
        <v>0</v>
      </c>
    </row>
    <row r="591" spans="1:39" x14ac:dyDescent="0.25">
      <c r="A591" s="123" t="s">
        <v>304</v>
      </c>
      <c r="B591" s="142" t="s">
        <v>71</v>
      </c>
      <c r="C591" s="142" t="s">
        <v>127</v>
      </c>
      <c r="D591" s="142" t="s">
        <v>153</v>
      </c>
      <c r="E591" s="142" t="s">
        <v>125</v>
      </c>
      <c r="F591" s="142" t="s">
        <v>156</v>
      </c>
      <c r="G591" s="142" t="s">
        <v>76</v>
      </c>
      <c r="H591" s="142" t="s">
        <v>298</v>
      </c>
      <c r="I591" s="142" t="s">
        <v>78</v>
      </c>
      <c r="J591" s="142" t="s">
        <v>78</v>
      </c>
      <c r="K591" s="142" t="s">
        <v>3</v>
      </c>
      <c r="L591" s="142" t="s">
        <v>125</v>
      </c>
      <c r="M591" s="142"/>
      <c r="N591" s="142" t="s">
        <v>126</v>
      </c>
      <c r="O591" s="142" t="s">
        <v>94</v>
      </c>
      <c r="P591" s="173">
        <v>0.08</v>
      </c>
      <c r="Q591" s="174"/>
      <c r="R591" s="142"/>
      <c r="S591" s="147">
        <v>29897.39</v>
      </c>
      <c r="T591" s="147"/>
      <c r="U591" s="147">
        <v>0</v>
      </c>
      <c r="V591" s="175">
        <f t="shared" si="133"/>
        <v>29897.39</v>
      </c>
      <c r="W591" s="175">
        <f>IF(O591="折扣",U591*P591,IF(O591="返现",U591,U591*(1+AG591)/(1+P591+AG591)))</f>
        <v>0</v>
      </c>
      <c r="X591" s="142"/>
      <c r="Y591" s="50">
        <f t="shared" si="140"/>
        <v>0</v>
      </c>
      <c r="Z591" s="50">
        <f t="shared" si="139"/>
        <v>0</v>
      </c>
      <c r="AA591" s="147">
        <f t="shared" si="132"/>
        <v>0</v>
      </c>
      <c r="AB591" s="175">
        <f t="shared" si="138"/>
        <v>0</v>
      </c>
      <c r="AC591" s="176">
        <v>0.05</v>
      </c>
      <c r="AD591" s="177">
        <f t="shared" si="136"/>
        <v>0</v>
      </c>
      <c r="AE591" s="142"/>
      <c r="AG591" s="173">
        <v>0.42</v>
      </c>
      <c r="AH591" s="137">
        <f>AK591/(1+AG591)</f>
        <v>0</v>
      </c>
      <c r="AI591" s="147">
        <v>0</v>
      </c>
      <c r="AJ591" s="175">
        <f>T591*AG591</f>
        <v>0</v>
      </c>
      <c r="AK591" s="147">
        <v>0</v>
      </c>
      <c r="AL591" s="175">
        <f t="shared" si="137"/>
        <v>0</v>
      </c>
      <c r="AM591" s="147">
        <f>IF(O591="折扣",AK591*P591,IF(O591="返现",AK591/(1+AG591),AK591/(1+P591+AG591)))</f>
        <v>0</v>
      </c>
    </row>
    <row r="592" spans="1:39" x14ac:dyDescent="0.25">
      <c r="A592" s="123" t="s">
        <v>304</v>
      </c>
      <c r="B592" s="142" t="s">
        <v>71</v>
      </c>
      <c r="C592" s="142" t="s">
        <v>127</v>
      </c>
      <c r="D592" s="142" t="s">
        <v>153</v>
      </c>
      <c r="E592" s="142" t="s">
        <v>157</v>
      </c>
      <c r="F592" s="142" t="s">
        <v>158</v>
      </c>
      <c r="G592" s="142" t="s">
        <v>76</v>
      </c>
      <c r="H592" s="142" t="s">
        <v>298</v>
      </c>
      <c r="I592" s="142" t="s">
        <v>78</v>
      </c>
      <c r="J592" s="142" t="s">
        <v>78</v>
      </c>
      <c r="K592" s="142" t="s">
        <v>3</v>
      </c>
      <c r="L592" s="142" t="s">
        <v>125</v>
      </c>
      <c r="M592" s="142"/>
      <c r="N592" s="142" t="s">
        <v>126</v>
      </c>
      <c r="O592" s="142" t="s">
        <v>94</v>
      </c>
      <c r="P592" s="173">
        <v>0.08</v>
      </c>
      <c r="Q592" s="174"/>
      <c r="R592" s="142"/>
      <c r="S592" s="147">
        <v>20014.111126760599</v>
      </c>
      <c r="T592" s="147"/>
      <c r="U592" s="147">
        <v>0</v>
      </c>
      <c r="V592" s="175">
        <f t="shared" si="133"/>
        <v>20014.111126760599</v>
      </c>
      <c r="W592" s="175">
        <f>IF(O592="折扣",U592*P592,IF(O592="返现",U592,U592*(1+AG592)/(1+P592+AG592)))</f>
        <v>0</v>
      </c>
      <c r="X592" s="142"/>
      <c r="Y592" s="50">
        <f t="shared" si="140"/>
        <v>0</v>
      </c>
      <c r="Z592" s="50">
        <f t="shared" si="139"/>
        <v>0</v>
      </c>
      <c r="AA592" s="147">
        <f t="shared" si="132"/>
        <v>0</v>
      </c>
      <c r="AB592" s="175">
        <f t="shared" si="138"/>
        <v>0</v>
      </c>
      <c r="AC592" s="176">
        <v>0.05</v>
      </c>
      <c r="AD592" s="177">
        <f t="shared" si="136"/>
        <v>0</v>
      </c>
      <c r="AE592" s="142"/>
      <c r="AG592" s="173">
        <v>0.42</v>
      </c>
      <c r="AH592" s="137">
        <f>AK592/(1+AG592)</f>
        <v>0</v>
      </c>
      <c r="AI592" s="147">
        <v>0</v>
      </c>
      <c r="AJ592" s="175">
        <f>T592*AG592</f>
        <v>0</v>
      </c>
      <c r="AK592" s="147">
        <v>0</v>
      </c>
      <c r="AL592" s="175">
        <f t="shared" si="137"/>
        <v>0</v>
      </c>
      <c r="AM592" s="147">
        <f>IF(O592="折扣",AK592*P592,IF(O592="返现",AK592/(1+AG592),AK592/(1+P592+AG592)))</f>
        <v>0</v>
      </c>
    </row>
    <row r="593" spans="1:39" x14ac:dyDescent="0.25">
      <c r="A593" s="123" t="s">
        <v>304</v>
      </c>
      <c r="B593" s="142" t="s">
        <v>71</v>
      </c>
      <c r="C593" s="142" t="s">
        <v>127</v>
      </c>
      <c r="D593" s="142" t="s">
        <v>153</v>
      </c>
      <c r="E593" s="142" t="s">
        <v>159</v>
      </c>
      <c r="F593" s="142" t="s">
        <v>160</v>
      </c>
      <c r="G593" s="142" t="s">
        <v>76</v>
      </c>
      <c r="H593" s="142" t="s">
        <v>298</v>
      </c>
      <c r="I593" s="142" t="s">
        <v>78</v>
      </c>
      <c r="J593" s="142" t="s">
        <v>78</v>
      </c>
      <c r="K593" s="142" t="s">
        <v>3</v>
      </c>
      <c r="L593" s="142" t="s">
        <v>125</v>
      </c>
      <c r="M593" s="142"/>
      <c r="N593" s="142" t="s">
        <v>126</v>
      </c>
      <c r="O593" s="142" t="s">
        <v>94</v>
      </c>
      <c r="P593" s="173">
        <v>0.04</v>
      </c>
      <c r="Q593" s="174"/>
      <c r="R593" s="142"/>
      <c r="S593" s="147">
        <v>322.47394365991897</v>
      </c>
      <c r="T593" s="147"/>
      <c r="U593" s="147">
        <v>0</v>
      </c>
      <c r="V593" s="175">
        <f t="shared" si="133"/>
        <v>322.47394365991897</v>
      </c>
      <c r="W593" s="175">
        <f>IF(O593="折扣",U593*P593,IF(O593="返现",U593,U593*(1+AG593)/(1+P593+AG593)))</f>
        <v>0</v>
      </c>
      <c r="X593" s="142"/>
      <c r="Y593" s="50">
        <f t="shared" si="140"/>
        <v>0</v>
      </c>
      <c r="Z593" s="50">
        <f t="shared" si="139"/>
        <v>0</v>
      </c>
      <c r="AA593" s="147">
        <f t="shared" si="132"/>
        <v>0</v>
      </c>
      <c r="AB593" s="175">
        <f t="shared" si="138"/>
        <v>0</v>
      </c>
      <c r="AC593" s="176">
        <v>0.05</v>
      </c>
      <c r="AD593" s="177">
        <f t="shared" si="136"/>
        <v>0</v>
      </c>
      <c r="AE593" s="142"/>
      <c r="AG593" s="173">
        <v>0.42</v>
      </c>
      <c r="AH593" s="137">
        <f>AK593/(1+AG593)</f>
        <v>0</v>
      </c>
      <c r="AI593" s="147">
        <v>0</v>
      </c>
      <c r="AJ593" s="175">
        <f>T593*AG593</f>
        <v>0</v>
      </c>
      <c r="AK593" s="147">
        <v>0</v>
      </c>
      <c r="AL593" s="175">
        <f t="shared" si="137"/>
        <v>0</v>
      </c>
      <c r="AM593" s="147">
        <f>IF(O593="折扣",AK593*P593,IF(O593="返现",AK593/(1+AG593),AK593/(1+P593+AG593)))</f>
        <v>0</v>
      </c>
    </row>
    <row r="594" spans="1:39" x14ac:dyDescent="0.25">
      <c r="A594" s="123" t="s">
        <v>304</v>
      </c>
      <c r="B594" s="142" t="s">
        <v>71</v>
      </c>
      <c r="C594" s="142" t="s">
        <v>127</v>
      </c>
      <c r="D594" s="142" t="s">
        <v>153</v>
      </c>
      <c r="E594" s="142" t="s">
        <v>161</v>
      </c>
      <c r="F594" s="142" t="s">
        <v>162</v>
      </c>
      <c r="G594" s="142" t="s">
        <v>76</v>
      </c>
      <c r="H594" s="142" t="s">
        <v>298</v>
      </c>
      <c r="I594" s="142" t="s">
        <v>78</v>
      </c>
      <c r="J594" s="142" t="s">
        <v>78</v>
      </c>
      <c r="K594" s="142" t="s">
        <v>3</v>
      </c>
      <c r="L594" s="142" t="s">
        <v>125</v>
      </c>
      <c r="M594" s="142"/>
      <c r="N594" s="142" t="s">
        <v>126</v>
      </c>
      <c r="O594" s="142" t="s">
        <v>94</v>
      </c>
      <c r="P594" s="173">
        <v>0.23</v>
      </c>
      <c r="Q594" s="174"/>
      <c r="R594" s="142"/>
      <c r="S594" s="147">
        <v>196.54507042269699</v>
      </c>
      <c r="T594" s="147"/>
      <c r="U594" s="147">
        <v>0</v>
      </c>
      <c r="V594" s="175">
        <f t="shared" si="133"/>
        <v>196.54507042269699</v>
      </c>
      <c r="W594" s="175">
        <f>IF(O594="折扣",U594*P594,IF(O594="返现",U594,U594*(1+AG594)/(1+P594+AG594)))</f>
        <v>0</v>
      </c>
      <c r="X594" s="142"/>
      <c r="Y594" s="50">
        <f t="shared" si="140"/>
        <v>0</v>
      </c>
      <c r="Z594" s="50">
        <f t="shared" si="139"/>
        <v>0</v>
      </c>
      <c r="AA594" s="147">
        <f t="shared" si="132"/>
        <v>0</v>
      </c>
      <c r="AB594" s="175">
        <f t="shared" si="138"/>
        <v>0</v>
      </c>
      <c r="AC594" s="176">
        <v>0.05</v>
      </c>
      <c r="AD594" s="177">
        <f t="shared" si="136"/>
        <v>0</v>
      </c>
      <c r="AE594" s="142"/>
      <c r="AG594" s="173">
        <v>0.42</v>
      </c>
      <c r="AH594" s="137">
        <f>AK594/(1+AG594)</f>
        <v>0</v>
      </c>
      <c r="AI594" s="147">
        <v>0</v>
      </c>
      <c r="AJ594" s="175">
        <f>T594*AG594</f>
        <v>0</v>
      </c>
      <c r="AK594" s="147">
        <v>0</v>
      </c>
      <c r="AL594" s="175">
        <f t="shared" si="137"/>
        <v>0</v>
      </c>
      <c r="AM594" s="147">
        <f>IF(O594="折扣",AK594*P594,IF(O594="返现",AK594/(1+AG594),AK594/(1+P594+AG594)))</f>
        <v>0</v>
      </c>
    </row>
    <row r="595" spans="1:39" x14ac:dyDescent="0.25">
      <c r="A595" s="123" t="s">
        <v>304</v>
      </c>
      <c r="B595" s="142" t="s">
        <v>71</v>
      </c>
      <c r="C595" s="142" t="s">
        <v>127</v>
      </c>
      <c r="D595" s="142" t="s">
        <v>153</v>
      </c>
      <c r="E595" s="142" t="s">
        <v>163</v>
      </c>
      <c r="F595" s="142" t="s">
        <v>164</v>
      </c>
      <c r="G595" s="142" t="s">
        <v>76</v>
      </c>
      <c r="H595" s="142" t="s">
        <v>298</v>
      </c>
      <c r="I595" s="142" t="s">
        <v>78</v>
      </c>
      <c r="J595" s="142" t="s">
        <v>78</v>
      </c>
      <c r="K595" s="142" t="s">
        <v>3</v>
      </c>
      <c r="L595" s="142" t="s">
        <v>125</v>
      </c>
      <c r="M595" s="142"/>
      <c r="N595" s="142" t="s">
        <v>126</v>
      </c>
      <c r="O595" s="142" t="s">
        <v>94</v>
      </c>
      <c r="P595" s="173">
        <v>0.03</v>
      </c>
      <c r="Q595" s="174"/>
      <c r="R595" s="142"/>
      <c r="S595" s="147">
        <v>1513.0032394366101</v>
      </c>
      <c r="T595" s="147"/>
      <c r="U595" s="147">
        <v>0</v>
      </c>
      <c r="V595" s="175">
        <f t="shared" si="133"/>
        <v>1513.0032394366101</v>
      </c>
      <c r="W595" s="175">
        <f>IF(O595="折扣",U595*P595,IF(O595="返现",U595,U595*(1+AG595)/(1+P595+AG595)))</f>
        <v>0</v>
      </c>
      <c r="X595" s="142"/>
      <c r="Y595" s="50">
        <f t="shared" si="140"/>
        <v>0</v>
      </c>
      <c r="Z595" s="50">
        <f t="shared" si="139"/>
        <v>0</v>
      </c>
      <c r="AA595" s="147">
        <f t="shared" si="132"/>
        <v>0</v>
      </c>
      <c r="AB595" s="175">
        <f t="shared" si="138"/>
        <v>0</v>
      </c>
      <c r="AC595" s="176">
        <v>0.05</v>
      </c>
      <c r="AD595" s="177">
        <f t="shared" si="136"/>
        <v>0</v>
      </c>
      <c r="AE595" s="142"/>
      <c r="AG595" s="173">
        <v>0.42</v>
      </c>
      <c r="AH595" s="137">
        <f>AK595/(1+AG595)</f>
        <v>0</v>
      </c>
      <c r="AI595" s="147">
        <v>0</v>
      </c>
      <c r="AJ595" s="175">
        <f>T595*AG595</f>
        <v>0</v>
      </c>
      <c r="AK595" s="147">
        <v>0</v>
      </c>
      <c r="AL595" s="175">
        <f t="shared" si="137"/>
        <v>0</v>
      </c>
      <c r="AM595" s="147">
        <f>IF(O595="折扣",AK595*P595,IF(O595="返现",AK595/(1+AG595),AK595/(1+P595+AG595)))</f>
        <v>0</v>
      </c>
    </row>
    <row r="596" spans="1:39" x14ac:dyDescent="0.25">
      <c r="A596" s="123" t="s">
        <v>304</v>
      </c>
      <c r="B596" s="142" t="s">
        <v>71</v>
      </c>
      <c r="C596" s="142" t="s">
        <v>127</v>
      </c>
      <c r="D596" s="142" t="s">
        <v>153</v>
      </c>
      <c r="E596" s="142" t="s">
        <v>165</v>
      </c>
      <c r="F596" s="142" t="s">
        <v>166</v>
      </c>
      <c r="G596" s="142" t="s">
        <v>76</v>
      </c>
      <c r="H596" s="142" t="s">
        <v>298</v>
      </c>
      <c r="I596" s="142" t="s">
        <v>78</v>
      </c>
      <c r="J596" s="142" t="s">
        <v>78</v>
      </c>
      <c r="K596" s="142" t="s">
        <v>3</v>
      </c>
      <c r="L596" s="142" t="s">
        <v>125</v>
      </c>
      <c r="M596" s="142"/>
      <c r="N596" s="142" t="s">
        <v>126</v>
      </c>
      <c r="O596" s="142" t="s">
        <v>94</v>
      </c>
      <c r="P596" s="173">
        <v>0.03</v>
      </c>
      <c r="Q596" s="174"/>
      <c r="R596" s="142"/>
      <c r="S596" s="147">
        <v>6504.6216901406997</v>
      </c>
      <c r="T596" s="147"/>
      <c r="U596" s="147">
        <v>0</v>
      </c>
      <c r="V596" s="175">
        <f t="shared" si="133"/>
        <v>6504.6216901406997</v>
      </c>
      <c r="W596" s="175">
        <f>IF(O596="折扣",U596*P596,IF(O596="返现",U596,U596*(1+AG596)/(1+P596+AG596)))</f>
        <v>0</v>
      </c>
      <c r="X596" s="142"/>
      <c r="Y596" s="50">
        <f t="shared" si="140"/>
        <v>0</v>
      </c>
      <c r="Z596" s="50">
        <f t="shared" si="139"/>
        <v>0</v>
      </c>
      <c r="AA596" s="147">
        <f t="shared" si="132"/>
        <v>0</v>
      </c>
      <c r="AB596" s="175">
        <f t="shared" si="138"/>
        <v>0</v>
      </c>
      <c r="AC596" s="176">
        <v>0.05</v>
      </c>
      <c r="AD596" s="177">
        <f t="shared" si="136"/>
        <v>0</v>
      </c>
      <c r="AE596" s="142"/>
      <c r="AG596" s="173">
        <v>0</v>
      </c>
      <c r="AH596" s="137">
        <f>AK596/(1+AG596)</f>
        <v>0</v>
      </c>
      <c r="AI596" s="147">
        <v>0</v>
      </c>
      <c r="AJ596" s="175">
        <f>T596*AG596</f>
        <v>0</v>
      </c>
      <c r="AK596" s="147">
        <v>0</v>
      </c>
      <c r="AL596" s="175">
        <f t="shared" si="137"/>
        <v>0</v>
      </c>
      <c r="AM596" s="147">
        <f>IF(O596="折扣",AK596*P596,IF(O596="返现",AK596/(1+AG596),AK596/(1+P596+AG596)))</f>
        <v>0</v>
      </c>
    </row>
    <row r="597" spans="1:39" x14ac:dyDescent="0.25">
      <c r="A597" s="123" t="s">
        <v>304</v>
      </c>
      <c r="B597" s="142" t="s">
        <v>71</v>
      </c>
      <c r="C597" s="142" t="s">
        <v>127</v>
      </c>
      <c r="D597" s="142" t="s">
        <v>153</v>
      </c>
      <c r="E597" s="142" t="s">
        <v>167</v>
      </c>
      <c r="F597" s="142" t="s">
        <v>168</v>
      </c>
      <c r="G597" s="142" t="s">
        <v>76</v>
      </c>
      <c r="H597" s="142" t="s">
        <v>298</v>
      </c>
      <c r="I597" s="142" t="s">
        <v>78</v>
      </c>
      <c r="J597" s="142" t="s">
        <v>78</v>
      </c>
      <c r="K597" s="142" t="s">
        <v>3</v>
      </c>
      <c r="L597" s="142" t="s">
        <v>125</v>
      </c>
      <c r="M597" s="142"/>
      <c r="N597" s="142" t="s">
        <v>126</v>
      </c>
      <c r="O597" s="142" t="s">
        <v>94</v>
      </c>
      <c r="P597" s="173">
        <v>0.18</v>
      </c>
      <c r="Q597" s="174"/>
      <c r="R597" s="142"/>
      <c r="S597" s="147">
        <v>44820.261970721403</v>
      </c>
      <c r="T597" s="147"/>
      <c r="U597" s="147">
        <v>0</v>
      </c>
      <c r="V597" s="175">
        <f t="shared" si="133"/>
        <v>44820.261970721403</v>
      </c>
      <c r="W597" s="175">
        <f>IF(O597="折扣",U597*P597,IF(O597="返现",U597,U597*(1+AG597)/(1+P597+AG597)))</f>
        <v>0</v>
      </c>
      <c r="X597" s="142"/>
      <c r="Y597" s="50">
        <f t="shared" si="140"/>
        <v>0</v>
      </c>
      <c r="Z597" s="50">
        <f t="shared" si="139"/>
        <v>0</v>
      </c>
      <c r="AA597" s="147">
        <f t="shared" si="132"/>
        <v>0</v>
      </c>
      <c r="AB597" s="175">
        <f t="shared" si="138"/>
        <v>0</v>
      </c>
      <c r="AC597" s="176">
        <v>0.05</v>
      </c>
      <c r="AD597" s="177">
        <f t="shared" si="136"/>
        <v>0</v>
      </c>
      <c r="AE597" s="142"/>
      <c r="AG597" s="173">
        <v>0.42</v>
      </c>
      <c r="AH597" s="137">
        <f>AK597/(1+AG597)</f>
        <v>0</v>
      </c>
      <c r="AI597" s="147">
        <v>0</v>
      </c>
      <c r="AJ597" s="175">
        <f>T597*AG597</f>
        <v>0</v>
      </c>
      <c r="AK597" s="147">
        <v>0</v>
      </c>
      <c r="AL597" s="175">
        <f t="shared" si="137"/>
        <v>0</v>
      </c>
      <c r="AM597" s="147">
        <f>IF(O597="折扣",AK597*P597,IF(O597="返现",AK597/(1+AG597),AK597/(1+P597+AG597)))</f>
        <v>0</v>
      </c>
    </row>
    <row r="598" spans="1:39" x14ac:dyDescent="0.25">
      <c r="A598" s="123" t="s">
        <v>304</v>
      </c>
      <c r="B598" s="142" t="s">
        <v>71</v>
      </c>
      <c r="C598" s="142" t="s">
        <v>127</v>
      </c>
      <c r="D598" s="142" t="s">
        <v>153</v>
      </c>
      <c r="E598" s="142" t="s">
        <v>169</v>
      </c>
      <c r="F598" s="142" t="s">
        <v>170</v>
      </c>
      <c r="G598" s="142" t="s">
        <v>76</v>
      </c>
      <c r="H598" s="142" t="s">
        <v>298</v>
      </c>
      <c r="I598" s="142" t="s">
        <v>78</v>
      </c>
      <c r="J598" s="142" t="s">
        <v>78</v>
      </c>
      <c r="K598" s="142" t="s">
        <v>3</v>
      </c>
      <c r="L598" s="142" t="s">
        <v>125</v>
      </c>
      <c r="M598" s="142"/>
      <c r="N598" s="142" t="s">
        <v>126</v>
      </c>
      <c r="O598" s="142" t="s">
        <v>94</v>
      </c>
      <c r="P598" s="173">
        <v>0.23</v>
      </c>
      <c r="Q598" s="174"/>
      <c r="R598" s="142"/>
      <c r="S598" s="147">
        <v>132154.611549297</v>
      </c>
      <c r="T598" s="147"/>
      <c r="U598" s="147">
        <v>0</v>
      </c>
      <c r="V598" s="175">
        <f t="shared" si="133"/>
        <v>132154.611549297</v>
      </c>
      <c r="W598" s="175">
        <f>IF(O598="折扣",U598*P598,IF(O598="返现",U598,U598*(1+AG598)/(1+P598+AG598)))</f>
        <v>0</v>
      </c>
      <c r="X598" s="142"/>
      <c r="Y598" s="50">
        <f t="shared" si="140"/>
        <v>0</v>
      </c>
      <c r="Z598" s="50">
        <f t="shared" si="139"/>
        <v>0</v>
      </c>
      <c r="AA598" s="147">
        <f t="shared" si="132"/>
        <v>0</v>
      </c>
      <c r="AB598" s="175">
        <f t="shared" si="138"/>
        <v>0</v>
      </c>
      <c r="AC598" s="176">
        <v>0.05</v>
      </c>
      <c r="AD598" s="177">
        <f t="shared" si="136"/>
        <v>0</v>
      </c>
      <c r="AE598" s="142"/>
      <c r="AG598" s="173">
        <v>0.42</v>
      </c>
      <c r="AH598" s="137">
        <f>AK598/(1+AG598)</f>
        <v>0</v>
      </c>
      <c r="AI598" s="147">
        <v>0</v>
      </c>
      <c r="AJ598" s="175">
        <f>T598*AG598</f>
        <v>0</v>
      </c>
      <c r="AK598" s="147">
        <v>0</v>
      </c>
      <c r="AL598" s="175">
        <f t="shared" si="137"/>
        <v>0</v>
      </c>
      <c r="AM598" s="147">
        <f>IF(O598="折扣",AK598*P598,IF(O598="返现",AK598/(1+AG598),AK598/(1+P598+AG598)))</f>
        <v>0</v>
      </c>
    </row>
    <row r="599" spans="1:39" x14ac:dyDescent="0.25">
      <c r="A599" s="123" t="s">
        <v>304</v>
      </c>
      <c r="B599" s="142" t="s">
        <v>71</v>
      </c>
      <c r="C599" s="142" t="s">
        <v>127</v>
      </c>
      <c r="D599" s="142" t="s">
        <v>153</v>
      </c>
      <c r="E599" s="142" t="s">
        <v>171</v>
      </c>
      <c r="F599" s="142" t="s">
        <v>172</v>
      </c>
      <c r="G599" s="142" t="s">
        <v>76</v>
      </c>
      <c r="H599" s="142" t="s">
        <v>298</v>
      </c>
      <c r="I599" s="142" t="s">
        <v>78</v>
      </c>
      <c r="J599" s="142" t="s">
        <v>78</v>
      </c>
      <c r="K599" s="142" t="s">
        <v>3</v>
      </c>
      <c r="L599" s="142" t="s">
        <v>125</v>
      </c>
      <c r="M599" s="142"/>
      <c r="N599" s="142" t="s">
        <v>126</v>
      </c>
      <c r="O599" s="142" t="s">
        <v>94</v>
      </c>
      <c r="P599" s="173">
        <v>0.03</v>
      </c>
      <c r="Q599" s="174"/>
      <c r="R599" s="142"/>
      <c r="S599" s="147">
        <v>14157.309295774699</v>
      </c>
      <c r="T599" s="147"/>
      <c r="U599" s="147">
        <v>0</v>
      </c>
      <c r="V599" s="175">
        <f t="shared" si="133"/>
        <v>14157.309295774699</v>
      </c>
      <c r="W599" s="175">
        <f>IF(O599="折扣",U599*P599,IF(O599="返现",U599,U599*(1+AG599)/(1+P599+AG599)))</f>
        <v>0</v>
      </c>
      <c r="X599" s="142"/>
      <c r="Y599" s="50">
        <f t="shared" si="140"/>
        <v>0</v>
      </c>
      <c r="Z599" s="50">
        <f t="shared" si="139"/>
        <v>0</v>
      </c>
      <c r="AA599" s="147">
        <f t="shared" si="132"/>
        <v>0</v>
      </c>
      <c r="AB599" s="175">
        <f t="shared" si="138"/>
        <v>0</v>
      </c>
      <c r="AC599" s="176">
        <v>0.05</v>
      </c>
      <c r="AD599" s="177">
        <f t="shared" si="136"/>
        <v>0</v>
      </c>
      <c r="AE599" s="142"/>
      <c r="AG599" s="173">
        <v>0.42</v>
      </c>
      <c r="AH599" s="137">
        <f>AK599/(1+AG599)</f>
        <v>0</v>
      </c>
      <c r="AI599" s="147">
        <v>0</v>
      </c>
      <c r="AJ599" s="175">
        <f>T599*AG599</f>
        <v>0</v>
      </c>
      <c r="AK599" s="147">
        <v>0</v>
      </c>
      <c r="AL599" s="175">
        <f t="shared" si="137"/>
        <v>0</v>
      </c>
      <c r="AM599" s="147">
        <f>IF(O599="折扣",AK599*P599,IF(O599="返现",AK599/(1+AG599),AK599/(1+P599+AG599)))</f>
        <v>0</v>
      </c>
    </row>
    <row r="600" spans="1:39" x14ac:dyDescent="0.25">
      <c r="A600" s="123" t="s">
        <v>304</v>
      </c>
      <c r="B600" s="142" t="s">
        <v>71</v>
      </c>
      <c r="C600" s="142" t="s">
        <v>127</v>
      </c>
      <c r="D600" s="142" t="s">
        <v>153</v>
      </c>
      <c r="E600" s="142" t="s">
        <v>173</v>
      </c>
      <c r="F600" s="142" t="s">
        <v>174</v>
      </c>
      <c r="G600" s="142" t="s">
        <v>76</v>
      </c>
      <c r="H600" s="142" t="s">
        <v>298</v>
      </c>
      <c r="I600" s="142" t="s">
        <v>78</v>
      </c>
      <c r="J600" s="142" t="s">
        <v>78</v>
      </c>
      <c r="K600" s="142" t="s">
        <v>3</v>
      </c>
      <c r="L600" s="142" t="s">
        <v>125</v>
      </c>
      <c r="M600" s="142"/>
      <c r="N600" s="142" t="s">
        <v>126</v>
      </c>
      <c r="O600" s="142" t="s">
        <v>94</v>
      </c>
      <c r="P600" s="173">
        <v>0.03</v>
      </c>
      <c r="Q600" s="174"/>
      <c r="R600" s="142"/>
      <c r="S600" s="147">
        <v>480.55873239384499</v>
      </c>
      <c r="T600" s="147"/>
      <c r="U600" s="147">
        <v>0</v>
      </c>
      <c r="V600" s="175">
        <f t="shared" si="133"/>
        <v>480.55873239384499</v>
      </c>
      <c r="W600" s="175">
        <f>IF(O600="折扣",U600*P600,IF(O600="返现",U600,U600*(1+AG600)/(1+P600+AG600)))</f>
        <v>0</v>
      </c>
      <c r="X600" s="142"/>
      <c r="Y600" s="50">
        <f t="shared" si="140"/>
        <v>0</v>
      </c>
      <c r="Z600" s="50">
        <f t="shared" si="139"/>
        <v>0</v>
      </c>
      <c r="AA600" s="147">
        <f t="shared" si="132"/>
        <v>0</v>
      </c>
      <c r="AB600" s="175">
        <f t="shared" si="138"/>
        <v>0</v>
      </c>
      <c r="AC600" s="176">
        <v>0.05</v>
      </c>
      <c r="AD600" s="177">
        <f t="shared" si="136"/>
        <v>0</v>
      </c>
      <c r="AE600" s="142"/>
      <c r="AG600" s="173">
        <v>0.42</v>
      </c>
      <c r="AH600" s="137">
        <f>AK600/(1+AG600)</f>
        <v>0</v>
      </c>
      <c r="AI600" s="147">
        <v>0</v>
      </c>
      <c r="AJ600" s="175">
        <f>T600*AG600</f>
        <v>0</v>
      </c>
      <c r="AK600" s="147">
        <v>0</v>
      </c>
      <c r="AL600" s="175">
        <f t="shared" si="137"/>
        <v>0</v>
      </c>
      <c r="AM600" s="147">
        <f>IF(O600="折扣",AK600*P600,IF(O600="返现",AK600/(1+AG600),AK600/(1+P600+AG600)))</f>
        <v>0</v>
      </c>
    </row>
    <row r="601" spans="1:39" x14ac:dyDescent="0.25">
      <c r="A601" s="123" t="s">
        <v>304</v>
      </c>
      <c r="B601" s="142" t="s">
        <v>71</v>
      </c>
      <c r="C601" s="142" t="s">
        <v>127</v>
      </c>
      <c r="D601" s="142" t="s">
        <v>153</v>
      </c>
      <c r="E601" s="142" t="s">
        <v>175</v>
      </c>
      <c r="F601" s="142" t="s">
        <v>176</v>
      </c>
      <c r="G601" s="142" t="s">
        <v>76</v>
      </c>
      <c r="H601" s="142" t="s">
        <v>298</v>
      </c>
      <c r="I601" s="142" t="s">
        <v>78</v>
      </c>
      <c r="J601" s="142" t="s">
        <v>78</v>
      </c>
      <c r="K601" s="142" t="s">
        <v>3</v>
      </c>
      <c r="L601" s="142" t="s">
        <v>125</v>
      </c>
      <c r="M601" s="142"/>
      <c r="N601" s="142" t="s">
        <v>126</v>
      </c>
      <c r="O601" s="142" t="s">
        <v>94</v>
      </c>
      <c r="P601" s="173">
        <v>0.23</v>
      </c>
      <c r="Q601" s="174"/>
      <c r="R601" s="142"/>
      <c r="S601" s="147">
        <v>88.72</v>
      </c>
      <c r="T601" s="147"/>
      <c r="U601" s="147">
        <v>0</v>
      </c>
      <c r="V601" s="175">
        <f t="shared" si="133"/>
        <v>88.72</v>
      </c>
      <c r="W601" s="175">
        <f>IF(O601="折扣",U601*P601,IF(O601="返现",U601,U601*(1+AG601)/(1+P601+AG601)))</f>
        <v>0</v>
      </c>
      <c r="X601" s="142"/>
      <c r="Y601" s="50">
        <f t="shared" si="140"/>
        <v>0</v>
      </c>
      <c r="Z601" s="50">
        <f t="shared" si="139"/>
        <v>0</v>
      </c>
      <c r="AA601" s="147">
        <f t="shared" si="132"/>
        <v>0</v>
      </c>
      <c r="AB601" s="175">
        <f t="shared" si="138"/>
        <v>0</v>
      </c>
      <c r="AC601" s="176">
        <v>0.05</v>
      </c>
      <c r="AD601" s="177">
        <f t="shared" si="136"/>
        <v>0</v>
      </c>
      <c r="AE601" s="142"/>
      <c r="AG601" s="173">
        <v>0.42</v>
      </c>
      <c r="AH601" s="137">
        <f>AK601/(1+AG601)</f>
        <v>0</v>
      </c>
      <c r="AI601" s="147">
        <v>0</v>
      </c>
      <c r="AJ601" s="175">
        <f>T601*AG601</f>
        <v>0</v>
      </c>
      <c r="AK601" s="147">
        <v>0</v>
      </c>
      <c r="AL601" s="175">
        <f t="shared" si="137"/>
        <v>0</v>
      </c>
      <c r="AM601" s="147">
        <f>IF(O601="折扣",AK601*P601,IF(O601="返现",AK601/(1+AG601),AK601/(1+P601+AG601)))</f>
        <v>0</v>
      </c>
    </row>
    <row r="602" spans="1:39" x14ac:dyDescent="0.25">
      <c r="A602" s="123" t="s">
        <v>304</v>
      </c>
      <c r="B602" s="142" t="s">
        <v>71</v>
      </c>
      <c r="C602" s="142" t="s">
        <v>127</v>
      </c>
      <c r="D602" s="142" t="s">
        <v>153</v>
      </c>
      <c r="E602" s="142" t="s">
        <v>177</v>
      </c>
      <c r="F602" s="142" t="s">
        <v>178</v>
      </c>
      <c r="G602" s="142" t="s">
        <v>76</v>
      </c>
      <c r="H602" s="142" t="s">
        <v>298</v>
      </c>
      <c r="I602" s="142" t="s">
        <v>78</v>
      </c>
      <c r="J602" s="142" t="s">
        <v>78</v>
      </c>
      <c r="K602" s="142" t="s">
        <v>3</v>
      </c>
      <c r="L602" s="142" t="s">
        <v>125</v>
      </c>
      <c r="M602" s="142"/>
      <c r="N602" s="142" t="s">
        <v>126</v>
      </c>
      <c r="O602" s="142" t="s">
        <v>94</v>
      </c>
      <c r="P602" s="173">
        <v>0.18</v>
      </c>
      <c r="Q602" s="174"/>
      <c r="R602" s="142"/>
      <c r="S602" s="147">
        <v>147.29985915508601</v>
      </c>
      <c r="T602" s="147"/>
      <c r="U602" s="147">
        <v>0</v>
      </c>
      <c r="V602" s="175">
        <f t="shared" si="133"/>
        <v>147.29985915508601</v>
      </c>
      <c r="W602" s="175">
        <f>IF(O602="折扣",U602*P602,IF(O602="返现",U602,U602*(1+AG602)/(1+P602+AG602)))</f>
        <v>0</v>
      </c>
      <c r="X602" s="142"/>
      <c r="Y602" s="50">
        <f t="shared" si="140"/>
        <v>0</v>
      </c>
      <c r="Z602" s="50">
        <f t="shared" si="139"/>
        <v>0</v>
      </c>
      <c r="AA602" s="147">
        <f t="shared" si="132"/>
        <v>0</v>
      </c>
      <c r="AB602" s="175">
        <f t="shared" si="138"/>
        <v>0</v>
      </c>
      <c r="AC602" s="176">
        <v>0.05</v>
      </c>
      <c r="AD602" s="177">
        <f t="shared" si="136"/>
        <v>0</v>
      </c>
      <c r="AE602" s="142"/>
      <c r="AG602" s="173">
        <v>0.42</v>
      </c>
      <c r="AH602" s="137">
        <f>AK602/(1+AG602)</f>
        <v>0</v>
      </c>
      <c r="AI602" s="147">
        <v>0</v>
      </c>
      <c r="AJ602" s="175">
        <f>T602*AG602</f>
        <v>0</v>
      </c>
      <c r="AK602" s="147">
        <v>0</v>
      </c>
      <c r="AL602" s="175">
        <f t="shared" si="137"/>
        <v>0</v>
      </c>
      <c r="AM602" s="147">
        <f>IF(O602="折扣",AK602*P602,IF(O602="返现",AK602/(1+AG602),AK602/(1+P602+AG602)))</f>
        <v>0</v>
      </c>
    </row>
    <row r="603" spans="1:39" x14ac:dyDescent="0.25">
      <c r="A603" s="123" t="s">
        <v>304</v>
      </c>
      <c r="B603" s="142" t="s">
        <v>71</v>
      </c>
      <c r="C603" s="142" t="s">
        <v>127</v>
      </c>
      <c r="D603" s="142" t="s">
        <v>153</v>
      </c>
      <c r="E603" s="142" t="s">
        <v>179</v>
      </c>
      <c r="F603" s="142" t="s">
        <v>180</v>
      </c>
      <c r="G603" s="142" t="s">
        <v>76</v>
      </c>
      <c r="H603" s="142" t="s">
        <v>298</v>
      </c>
      <c r="I603" s="142" t="s">
        <v>78</v>
      </c>
      <c r="J603" s="142" t="s">
        <v>78</v>
      </c>
      <c r="K603" s="142" t="s">
        <v>3</v>
      </c>
      <c r="L603" s="142" t="s">
        <v>125</v>
      </c>
      <c r="M603" s="142"/>
      <c r="N603" s="142" t="s">
        <v>126</v>
      </c>
      <c r="O603" s="142" t="s">
        <v>94</v>
      </c>
      <c r="P603" s="173">
        <v>0.18</v>
      </c>
      <c r="Q603" s="174"/>
      <c r="R603" s="142"/>
      <c r="S603" s="147">
        <v>4215.2245070423196</v>
      </c>
      <c r="T603" s="147"/>
      <c r="U603" s="147">
        <v>0</v>
      </c>
      <c r="V603" s="175">
        <f t="shared" si="133"/>
        <v>4215.2245070423196</v>
      </c>
      <c r="W603" s="175">
        <f>IF(O603="折扣",U603*P603,IF(O603="返现",U603,U603*(1+AG603)/(1+P603+AG603)))</f>
        <v>0</v>
      </c>
      <c r="X603" s="142"/>
      <c r="Y603" s="50">
        <f t="shared" si="140"/>
        <v>0</v>
      </c>
      <c r="Z603" s="50">
        <f>W603+X603+AN603</f>
        <v>0</v>
      </c>
      <c r="AA603" s="147">
        <f t="shared" si="132"/>
        <v>0</v>
      </c>
      <c r="AB603" s="175">
        <f t="shared" si="138"/>
        <v>0</v>
      </c>
      <c r="AC603" s="176">
        <v>0.05</v>
      </c>
      <c r="AD603" s="177">
        <f t="shared" si="136"/>
        <v>0</v>
      </c>
      <c r="AE603" s="142"/>
      <c r="AG603" s="173">
        <v>0.42</v>
      </c>
      <c r="AH603" s="137">
        <f>AK603/(1+AG603)</f>
        <v>0</v>
      </c>
      <c r="AI603" s="147">
        <v>0</v>
      </c>
      <c r="AJ603" s="175">
        <f>T603*AG603</f>
        <v>0</v>
      </c>
      <c r="AK603" s="147">
        <v>0</v>
      </c>
      <c r="AL603" s="175">
        <f t="shared" si="137"/>
        <v>0</v>
      </c>
      <c r="AM603" s="147">
        <f>IF(O603="折扣",AK603*P603,IF(O603="返现",AK603/(1+AG603),AK603/(1+P603+AG603)))</f>
        <v>0</v>
      </c>
    </row>
    <row r="604" spans="1:39" x14ac:dyDescent="0.25">
      <c r="A604" s="123" t="s">
        <v>304</v>
      </c>
      <c r="B604" s="142" t="s">
        <v>71</v>
      </c>
      <c r="C604" s="142" t="s">
        <v>127</v>
      </c>
      <c r="D604" s="142" t="s">
        <v>153</v>
      </c>
      <c r="E604" s="142" t="s">
        <v>181</v>
      </c>
      <c r="F604" s="142" t="s">
        <v>182</v>
      </c>
      <c r="G604" s="142" t="s">
        <v>76</v>
      </c>
      <c r="H604" s="142" t="s">
        <v>298</v>
      </c>
      <c r="I604" s="142" t="s">
        <v>78</v>
      </c>
      <c r="J604" s="142" t="s">
        <v>78</v>
      </c>
      <c r="K604" s="142" t="s">
        <v>3</v>
      </c>
      <c r="L604" s="142" t="s">
        <v>125</v>
      </c>
      <c r="M604" s="142"/>
      <c r="N604" s="142" t="s">
        <v>126</v>
      </c>
      <c r="O604" s="142" t="s">
        <v>94</v>
      </c>
      <c r="P604" s="173">
        <v>0.23</v>
      </c>
      <c r="Q604" s="174"/>
      <c r="R604" s="142"/>
      <c r="S604" s="147">
        <v>127.3395774647</v>
      </c>
      <c r="T604" s="147"/>
      <c r="U604" s="147">
        <v>0</v>
      </c>
      <c r="V604" s="175">
        <f t="shared" si="133"/>
        <v>127.3395774647</v>
      </c>
      <c r="W604" s="175">
        <f>IF(O604="折扣",U604*P604,IF(O604="返现",U604,U604*(1+AG604)/(1+P604+AG604)))</f>
        <v>0</v>
      </c>
      <c r="X604" s="142"/>
      <c r="Y604" s="50">
        <f t="shared" si="140"/>
        <v>0</v>
      </c>
      <c r="Z604" s="50">
        <f t="shared" si="139"/>
        <v>0</v>
      </c>
      <c r="AA604" s="147">
        <f t="shared" si="132"/>
        <v>0</v>
      </c>
      <c r="AB604" s="175">
        <f t="shared" si="138"/>
        <v>0</v>
      </c>
      <c r="AC604" s="176">
        <v>0.05</v>
      </c>
      <c r="AD604" s="177">
        <f t="shared" si="136"/>
        <v>0</v>
      </c>
      <c r="AE604" s="142"/>
      <c r="AG604" s="173">
        <v>0.42</v>
      </c>
      <c r="AH604" s="137">
        <f>AK604/(1+AG604)</f>
        <v>0</v>
      </c>
      <c r="AI604" s="147">
        <v>0</v>
      </c>
      <c r="AJ604" s="175">
        <f>T604*AG604</f>
        <v>0</v>
      </c>
      <c r="AK604" s="147">
        <v>0</v>
      </c>
      <c r="AL604" s="175">
        <f t="shared" si="137"/>
        <v>0</v>
      </c>
      <c r="AM604" s="147">
        <f>IF(O604="折扣",AK604*P604,IF(O604="返现",AK604/(1+AG604),AK604/(1+P604+AG604)))</f>
        <v>0</v>
      </c>
    </row>
    <row r="605" spans="1:39" x14ac:dyDescent="0.25">
      <c r="A605" s="123" t="s">
        <v>304</v>
      </c>
      <c r="B605" s="142" t="s">
        <v>71</v>
      </c>
      <c r="C605" s="142" t="s">
        <v>127</v>
      </c>
      <c r="D605" s="142" t="s">
        <v>153</v>
      </c>
      <c r="E605" s="142" t="s">
        <v>183</v>
      </c>
      <c r="F605" s="142" t="s">
        <v>184</v>
      </c>
      <c r="G605" s="142" t="s">
        <v>76</v>
      </c>
      <c r="H605" s="142" t="s">
        <v>298</v>
      </c>
      <c r="I605" s="142" t="s">
        <v>78</v>
      </c>
      <c r="J605" s="142" t="s">
        <v>78</v>
      </c>
      <c r="K605" s="142" t="s">
        <v>3</v>
      </c>
      <c r="L605" s="142" t="s">
        <v>125</v>
      </c>
      <c r="M605" s="142"/>
      <c r="N605" s="142" t="s">
        <v>126</v>
      </c>
      <c r="O605" s="142" t="s">
        <v>94</v>
      </c>
      <c r="P605" s="173">
        <v>0.23</v>
      </c>
      <c r="Q605" s="174"/>
      <c r="R605" s="142"/>
      <c r="S605" s="147">
        <v>172.66352112698999</v>
      </c>
      <c r="T605" s="147"/>
      <c r="U605" s="147">
        <v>0</v>
      </c>
      <c r="V605" s="175">
        <f t="shared" si="133"/>
        <v>172.66352112698999</v>
      </c>
      <c r="W605" s="175">
        <f>IF(O605="折扣",U605*P605,IF(O605="返现",U605,U605*(1+AG605)/(1+P605+AG605)))</f>
        <v>0</v>
      </c>
      <c r="X605" s="142"/>
      <c r="Y605" s="50">
        <f t="shared" si="140"/>
        <v>0</v>
      </c>
      <c r="Z605" s="50">
        <f t="shared" si="139"/>
        <v>0</v>
      </c>
      <c r="AA605" s="147">
        <f t="shared" si="132"/>
        <v>0</v>
      </c>
      <c r="AB605" s="175">
        <f t="shared" si="138"/>
        <v>0</v>
      </c>
      <c r="AC605" s="176">
        <v>0.05</v>
      </c>
      <c r="AD605" s="177">
        <f t="shared" si="136"/>
        <v>0</v>
      </c>
      <c r="AE605" s="142"/>
      <c r="AG605" s="173">
        <v>0.42</v>
      </c>
      <c r="AH605" s="137">
        <f>AK605/(1+AG605)</f>
        <v>0</v>
      </c>
      <c r="AI605" s="147">
        <v>0</v>
      </c>
      <c r="AJ605" s="175">
        <f>T605*AG605</f>
        <v>0</v>
      </c>
      <c r="AK605" s="147">
        <v>0</v>
      </c>
      <c r="AL605" s="175">
        <f t="shared" si="137"/>
        <v>0</v>
      </c>
      <c r="AM605" s="147">
        <f>IF(O605="折扣",AK605*P605,IF(O605="返现",AK605/(1+AG605),AK605/(1+P605+AG605)))</f>
        <v>0</v>
      </c>
    </row>
    <row r="606" spans="1:39" x14ac:dyDescent="0.25">
      <c r="A606" s="123" t="s">
        <v>304</v>
      </c>
      <c r="B606" s="142" t="s">
        <v>71</v>
      </c>
      <c r="C606" s="142" t="s">
        <v>127</v>
      </c>
      <c r="D606" s="142" t="s">
        <v>153</v>
      </c>
      <c r="E606" s="142" t="s">
        <v>185</v>
      </c>
      <c r="F606" s="142" t="s">
        <v>186</v>
      </c>
      <c r="G606" s="142" t="s">
        <v>76</v>
      </c>
      <c r="H606" s="142" t="s">
        <v>298</v>
      </c>
      <c r="I606" s="142" t="s">
        <v>78</v>
      </c>
      <c r="J606" s="142" t="s">
        <v>78</v>
      </c>
      <c r="K606" s="142" t="s">
        <v>3</v>
      </c>
      <c r="L606" s="142" t="s">
        <v>125</v>
      </c>
      <c r="M606" s="142"/>
      <c r="N606" s="142" t="s">
        <v>126</v>
      </c>
      <c r="O606" s="142" t="s">
        <v>94</v>
      </c>
      <c r="P606" s="173">
        <v>0.08</v>
      </c>
      <c r="Q606" s="174"/>
      <c r="R606" s="142"/>
      <c r="S606" s="147">
        <v>11055.15</v>
      </c>
      <c r="T606" s="147"/>
      <c r="U606" s="147">
        <v>0</v>
      </c>
      <c r="V606" s="175">
        <f t="shared" si="133"/>
        <v>11055.15</v>
      </c>
      <c r="W606" s="175">
        <f>IF(O606="折扣",U606*P606,IF(O606="返现",U606,U606*(1+AG606)/(1+P606+AG606)))</f>
        <v>0</v>
      </c>
      <c r="X606" s="142"/>
      <c r="Y606" s="50">
        <f t="shared" si="140"/>
        <v>0</v>
      </c>
      <c r="Z606" s="50">
        <f t="shared" si="139"/>
        <v>0</v>
      </c>
      <c r="AA606" s="147">
        <f t="shared" si="132"/>
        <v>0</v>
      </c>
      <c r="AB606" s="175">
        <f t="shared" si="138"/>
        <v>0</v>
      </c>
      <c r="AC606" s="176">
        <v>0.05</v>
      </c>
      <c r="AD606" s="177">
        <f t="shared" si="136"/>
        <v>0</v>
      </c>
      <c r="AE606" s="142"/>
      <c r="AG606" s="173">
        <v>0.42</v>
      </c>
      <c r="AH606" s="137">
        <f>AK606/(1+AG606)</f>
        <v>0</v>
      </c>
      <c r="AI606" s="147">
        <v>0</v>
      </c>
      <c r="AJ606" s="175">
        <f>T606*AG606</f>
        <v>0</v>
      </c>
      <c r="AK606" s="147">
        <v>0</v>
      </c>
      <c r="AL606" s="175">
        <f t="shared" si="137"/>
        <v>0</v>
      </c>
      <c r="AM606" s="147">
        <f>IF(O606="折扣",AK606*P606,IF(O606="返现",AK606/(1+AG606),AK606/(1+P606+AG606)))</f>
        <v>0</v>
      </c>
    </row>
    <row r="607" spans="1:39" x14ac:dyDescent="0.25">
      <c r="A607" s="123" t="s">
        <v>304</v>
      </c>
      <c r="B607" s="142" t="s">
        <v>3</v>
      </c>
      <c r="C607" s="142" t="s">
        <v>100</v>
      </c>
      <c r="D607" s="142" t="s">
        <v>101</v>
      </c>
      <c r="E607" s="142" t="s">
        <v>121</v>
      </c>
      <c r="F607" s="142" t="s">
        <v>121</v>
      </c>
      <c r="G607" s="142" t="s">
        <v>121</v>
      </c>
      <c r="H607" s="142" t="s">
        <v>298</v>
      </c>
      <c r="I607" s="142" t="s">
        <v>78</v>
      </c>
      <c r="J607" s="142" t="s">
        <v>78</v>
      </c>
      <c r="K607" s="142" t="s">
        <v>3</v>
      </c>
      <c r="L607" s="142" t="s">
        <v>121</v>
      </c>
      <c r="M607" s="142"/>
      <c r="N607" s="142" t="s">
        <v>86</v>
      </c>
      <c r="O607" s="142" t="s">
        <v>94</v>
      </c>
      <c r="P607" s="173">
        <v>5.5E-2</v>
      </c>
      <c r="Q607" s="174"/>
      <c r="R607" s="142"/>
      <c r="S607" s="147">
        <v>141426.28</v>
      </c>
      <c r="T607" s="147"/>
      <c r="U607" s="147">
        <v>0</v>
      </c>
      <c r="V607" s="175">
        <f t="shared" si="133"/>
        <v>141426.28</v>
      </c>
      <c r="W607" s="175">
        <f>IF(O607="折扣",U607*P607,IF(O607="返现",U607,U607*(1+AG607)/(1+P607+AG607)))</f>
        <v>0</v>
      </c>
      <c r="X607" s="142"/>
      <c r="Y607" s="50">
        <f t="shared" si="140"/>
        <v>0</v>
      </c>
      <c r="Z607" s="50">
        <f t="shared" ref="Z607:Z612" si="141">W607+X607+AN607</f>
        <v>0</v>
      </c>
      <c r="AA607" s="147">
        <f t="shared" si="132"/>
        <v>0</v>
      </c>
      <c r="AB607" s="175">
        <f t="shared" si="138"/>
        <v>0</v>
      </c>
      <c r="AC607" s="176">
        <v>0.05</v>
      </c>
      <c r="AD607" s="177">
        <f t="shared" si="136"/>
        <v>0</v>
      </c>
      <c r="AE607" s="142"/>
      <c r="AG607" s="173">
        <v>0.14000000000000001</v>
      </c>
      <c r="AH607" s="137">
        <f>AK607/(1+AG607)</f>
        <v>0</v>
      </c>
      <c r="AI607" s="147">
        <v>-14388.29</v>
      </c>
      <c r="AJ607" s="175">
        <f>T607*AG607</f>
        <v>0</v>
      </c>
      <c r="AK607" s="147">
        <v>0</v>
      </c>
      <c r="AL607" s="175">
        <f t="shared" si="137"/>
        <v>-14388.29</v>
      </c>
      <c r="AM607" s="147">
        <f>IF(O607="折扣",AK607*P607,IF(O607="返现",AK607/(1+AG607),AK607/(1+P607+AG607)))</f>
        <v>0</v>
      </c>
    </row>
    <row r="608" spans="1:39" x14ac:dyDescent="0.25">
      <c r="A608" s="123" t="s">
        <v>304</v>
      </c>
      <c r="B608" s="142" t="s">
        <v>3</v>
      </c>
      <c r="C608" s="142" t="s">
        <v>90</v>
      </c>
      <c r="D608" s="142" t="s">
        <v>114</v>
      </c>
      <c r="E608" s="142" t="s">
        <v>115</v>
      </c>
      <c r="F608" s="142" t="s">
        <v>115</v>
      </c>
      <c r="G608" s="142" t="s">
        <v>115</v>
      </c>
      <c r="H608" s="142" t="s">
        <v>298</v>
      </c>
      <c r="I608" s="142" t="s">
        <v>78</v>
      </c>
      <c r="J608" s="142" t="s">
        <v>78</v>
      </c>
      <c r="K608" s="142" t="s">
        <v>3</v>
      </c>
      <c r="L608" s="142" t="s">
        <v>116</v>
      </c>
      <c r="M608" s="142"/>
      <c r="N608" s="142" t="s">
        <v>86</v>
      </c>
      <c r="O608" s="142" t="s">
        <v>94</v>
      </c>
      <c r="P608" s="173">
        <v>-0.15</v>
      </c>
      <c r="Q608" s="174"/>
      <c r="R608" s="142"/>
      <c r="S608" s="147">
        <v>205.52</v>
      </c>
      <c r="T608" s="147"/>
      <c r="U608" s="147">
        <v>0</v>
      </c>
      <c r="V608" s="175">
        <f t="shared" si="133"/>
        <v>205.52</v>
      </c>
      <c r="W608" s="175">
        <f>IF(O608="折扣",U608*P608,IF(O608="返现",U608,U608*(1+AG608)/(1+P608+AG608)))</f>
        <v>0</v>
      </c>
      <c r="X608" s="142"/>
      <c r="Y608" s="50">
        <f t="shared" si="140"/>
        <v>0</v>
      </c>
      <c r="Z608" s="50">
        <f t="shared" si="141"/>
        <v>0</v>
      </c>
      <c r="AA608" s="147">
        <f t="shared" si="132"/>
        <v>0</v>
      </c>
      <c r="AB608" s="175">
        <f t="shared" si="138"/>
        <v>0</v>
      </c>
      <c r="AC608" s="176">
        <v>0.05</v>
      </c>
      <c r="AD608" s="177">
        <f t="shared" si="136"/>
        <v>0</v>
      </c>
      <c r="AE608" s="142"/>
      <c r="AG608" s="173">
        <v>0.26</v>
      </c>
      <c r="AH608" s="137">
        <f>AK608/(1+AG608)</f>
        <v>0</v>
      </c>
      <c r="AI608" s="147">
        <v>0</v>
      </c>
      <c r="AJ608" s="175">
        <f>T608*AG608</f>
        <v>0</v>
      </c>
      <c r="AK608" s="147">
        <v>0</v>
      </c>
      <c r="AL608" s="175">
        <f t="shared" si="137"/>
        <v>0</v>
      </c>
      <c r="AM608" s="147">
        <f>IF(O608="折扣",AK608*P608,IF(O608="返现",AK608/(1+AG608),AK608/(1+P608+AG608)))</f>
        <v>0</v>
      </c>
    </row>
    <row r="609" spans="1:39" x14ac:dyDescent="0.25">
      <c r="A609" s="123" t="s">
        <v>304</v>
      </c>
      <c r="B609" s="142" t="s">
        <v>3</v>
      </c>
      <c r="C609" s="142" t="s">
        <v>72</v>
      </c>
      <c r="D609" s="142" t="s">
        <v>187</v>
      </c>
      <c r="E609" s="142" t="s">
        <v>188</v>
      </c>
      <c r="F609" s="142" t="s">
        <v>188</v>
      </c>
      <c r="G609" s="142" t="s">
        <v>188</v>
      </c>
      <c r="H609" s="142" t="s">
        <v>298</v>
      </c>
      <c r="I609" s="142" t="s">
        <v>78</v>
      </c>
      <c r="J609" s="142" t="s">
        <v>78</v>
      </c>
      <c r="K609" s="142" t="s">
        <v>3</v>
      </c>
      <c r="L609" s="142" t="s">
        <v>188</v>
      </c>
      <c r="M609" s="142"/>
      <c r="N609" s="142" t="s">
        <v>126</v>
      </c>
      <c r="O609" s="142" t="s">
        <v>94</v>
      </c>
      <c r="P609" s="173">
        <v>0.05</v>
      </c>
      <c r="Q609" s="174"/>
      <c r="R609" s="142"/>
      <c r="S609" s="147">
        <v>15503.97</v>
      </c>
      <c r="T609" s="147"/>
      <c r="U609" s="147">
        <v>0</v>
      </c>
      <c r="V609" s="175">
        <f t="shared" si="133"/>
        <v>15503.97</v>
      </c>
      <c r="W609" s="175">
        <f>IF(O609="折扣",U609*P609,IF(O609="返现",U609,U609*(1+AG609)/(1+P609+AG609)))</f>
        <v>0</v>
      </c>
      <c r="X609" s="142"/>
      <c r="Y609" s="50">
        <f t="shared" si="140"/>
        <v>0</v>
      </c>
      <c r="Z609" s="50">
        <f t="shared" si="141"/>
        <v>0</v>
      </c>
      <c r="AA609" s="147">
        <f t="shared" si="132"/>
        <v>0</v>
      </c>
      <c r="AB609" s="175">
        <f t="shared" si="138"/>
        <v>0</v>
      </c>
      <c r="AC609" s="176">
        <v>0.05</v>
      </c>
      <c r="AD609" s="177">
        <f t="shared" si="136"/>
        <v>0</v>
      </c>
      <c r="AE609" s="142"/>
      <c r="AG609" s="173">
        <v>0.36</v>
      </c>
      <c r="AH609" s="137">
        <f>AK609/(1+AG609)</f>
        <v>0</v>
      </c>
      <c r="AI609" s="147">
        <v>0</v>
      </c>
      <c r="AJ609" s="175">
        <f>T609*AG609</f>
        <v>0</v>
      </c>
      <c r="AK609" s="147">
        <v>0</v>
      </c>
      <c r="AL609" s="175">
        <f t="shared" si="137"/>
        <v>0</v>
      </c>
      <c r="AM609" s="147">
        <f>IF(O609="折扣",AK609*P609,IF(O609="返现",AK609/(1+AG609),AK609/(1+P609+AG609)))</f>
        <v>0</v>
      </c>
    </row>
    <row r="610" spans="1:39" x14ac:dyDescent="0.25">
      <c r="A610" s="123" t="s">
        <v>304</v>
      </c>
      <c r="B610" s="142" t="s">
        <v>3</v>
      </c>
      <c r="C610" s="142" t="s">
        <v>95</v>
      </c>
      <c r="D610" s="142" t="s">
        <v>96</v>
      </c>
      <c r="E610" s="142" t="s">
        <v>99</v>
      </c>
      <c r="F610" s="142" t="s">
        <v>99</v>
      </c>
      <c r="G610" s="142" t="s">
        <v>99</v>
      </c>
      <c r="H610" s="142" t="s">
        <v>298</v>
      </c>
      <c r="I610" s="142" t="s">
        <v>78</v>
      </c>
      <c r="J610" s="142" t="s">
        <v>78</v>
      </c>
      <c r="K610" s="142" t="s">
        <v>3</v>
      </c>
      <c r="L610" s="142" t="s">
        <v>98</v>
      </c>
      <c r="M610" s="142"/>
      <c r="N610" s="142" t="s">
        <v>86</v>
      </c>
      <c r="O610" s="142" t="s">
        <v>94</v>
      </c>
      <c r="P610" s="173">
        <v>0.03</v>
      </c>
      <c r="Q610" s="174"/>
      <c r="R610" s="142"/>
      <c r="S610" s="147">
        <v>5695.56</v>
      </c>
      <c r="T610" s="147"/>
      <c r="U610" s="147">
        <v>0</v>
      </c>
      <c r="V610" s="175">
        <f t="shared" si="133"/>
        <v>5695.56</v>
      </c>
      <c r="W610" s="175">
        <f>IF(O610="折扣",U610*P610,IF(O610="返现",U610,U610*(1+AG610)/(1+P610+AG610)))</f>
        <v>0</v>
      </c>
      <c r="X610" s="142"/>
      <c r="Y610" s="50">
        <f t="shared" si="140"/>
        <v>0</v>
      </c>
      <c r="Z610" s="50">
        <f t="shared" si="141"/>
        <v>0</v>
      </c>
      <c r="AA610" s="147">
        <f t="shared" si="132"/>
        <v>0</v>
      </c>
      <c r="AB610" s="175">
        <f t="shared" si="138"/>
        <v>0</v>
      </c>
      <c r="AC610" s="176">
        <v>0.05</v>
      </c>
      <c r="AD610" s="177">
        <f t="shared" si="136"/>
        <v>0</v>
      </c>
      <c r="AE610" s="142"/>
      <c r="AG610" s="173">
        <v>0</v>
      </c>
      <c r="AH610" s="137">
        <f>AK610/(1+AG610)</f>
        <v>0</v>
      </c>
      <c r="AI610" s="147">
        <v>0</v>
      </c>
      <c r="AJ610" s="175">
        <f>T610*AG610</f>
        <v>0</v>
      </c>
      <c r="AK610" s="147">
        <v>0</v>
      </c>
      <c r="AL610" s="175">
        <f t="shared" si="137"/>
        <v>0</v>
      </c>
      <c r="AM610" s="147">
        <f>IF(O610="折扣",AK610*P610,IF(O610="返现",AK610/(1+AG610),AK610/(1+P610+AG610)))</f>
        <v>0</v>
      </c>
    </row>
    <row r="611" spans="1:39" x14ac:dyDescent="0.25">
      <c r="A611" s="123" t="s">
        <v>304</v>
      </c>
      <c r="B611" s="142" t="s">
        <v>3</v>
      </c>
      <c r="C611" s="142" t="s">
        <v>95</v>
      </c>
      <c r="D611" s="142" t="s">
        <v>96</v>
      </c>
      <c r="E611" s="142" t="s">
        <v>191</v>
      </c>
      <c r="F611" s="142" t="s">
        <v>191</v>
      </c>
      <c r="G611" s="142" t="s">
        <v>191</v>
      </c>
      <c r="H611" s="142" t="s">
        <v>298</v>
      </c>
      <c r="I611" s="142" t="s">
        <v>78</v>
      </c>
      <c r="J611" s="142" t="s">
        <v>78</v>
      </c>
      <c r="K611" s="142" t="s">
        <v>3</v>
      </c>
      <c r="L611" s="142" t="s">
        <v>192</v>
      </c>
      <c r="M611" s="142"/>
      <c r="N611" s="142" t="s">
        <v>86</v>
      </c>
      <c r="O611" s="142" t="s">
        <v>81</v>
      </c>
      <c r="P611" s="173">
        <v>0</v>
      </c>
      <c r="Q611" s="174"/>
      <c r="R611" s="142"/>
      <c r="S611" s="147">
        <v>-42879.59</v>
      </c>
      <c r="T611" s="147"/>
      <c r="U611" s="147">
        <v>874.56</v>
      </c>
      <c r="V611" s="175">
        <f t="shared" si="133"/>
        <v>-43754.149999999994</v>
      </c>
      <c r="W611" s="175">
        <f>IF(O611="折扣",U611*P611,IF(O611="返现",U611,U611*(1+AG611)/(1+P611+AG611)))</f>
        <v>874.56</v>
      </c>
      <c r="X611" s="142"/>
      <c r="Y611" s="50">
        <f t="shared" si="140"/>
        <v>0</v>
      </c>
      <c r="Z611" s="50">
        <f t="shared" si="141"/>
        <v>874.56</v>
      </c>
      <c r="AA611" s="147">
        <f t="shared" si="132"/>
        <v>0</v>
      </c>
      <c r="AB611" s="175">
        <f t="shared" si="138"/>
        <v>874.56</v>
      </c>
      <c r="AC611" s="176">
        <v>0.05</v>
      </c>
      <c r="AD611" s="177">
        <f t="shared" si="136"/>
        <v>43.728000000000002</v>
      </c>
      <c r="AE611" s="142"/>
      <c r="AG611" s="173">
        <v>0.11</v>
      </c>
      <c r="AH611" s="137">
        <f>AK611/(1+AG611)</f>
        <v>874.5585585585585</v>
      </c>
      <c r="AI611" s="147">
        <v>-5418.5799999999899</v>
      </c>
      <c r="AJ611" s="175">
        <f>T611*AG611</f>
        <v>0</v>
      </c>
      <c r="AK611" s="147">
        <v>970.76</v>
      </c>
      <c r="AL611" s="175">
        <f t="shared" si="137"/>
        <v>-5514.7799999999897</v>
      </c>
      <c r="AM611" s="147">
        <f>IF(O611="折扣",AK611*P611,IF(O611="返现",AK611/(1+AG611),AK611/(1+P611+AG611)))</f>
        <v>874.5585585585585</v>
      </c>
    </row>
    <row r="612" spans="1:39" x14ac:dyDescent="0.25">
      <c r="A612" s="123" t="s">
        <v>304</v>
      </c>
      <c r="B612" s="142" t="s">
        <v>3</v>
      </c>
      <c r="C612" s="142" t="s">
        <v>81</v>
      </c>
      <c r="D612" s="142" t="s">
        <v>81</v>
      </c>
      <c r="E612" s="142" t="s">
        <v>108</v>
      </c>
      <c r="F612" s="142" t="s">
        <v>108</v>
      </c>
      <c r="G612" s="142" t="s">
        <v>108</v>
      </c>
      <c r="H612" s="142" t="s">
        <v>298</v>
      </c>
      <c r="I612" s="142" t="s">
        <v>78</v>
      </c>
      <c r="J612" s="142" t="s">
        <v>78</v>
      </c>
      <c r="K612" s="142" t="s">
        <v>3</v>
      </c>
      <c r="L612" s="142" t="s">
        <v>108</v>
      </c>
      <c r="M612" s="142"/>
      <c r="N612" s="142" t="s">
        <v>86</v>
      </c>
      <c r="O612" s="142" t="s">
        <v>81</v>
      </c>
      <c r="P612" s="173">
        <v>0</v>
      </c>
      <c r="Q612" s="174"/>
      <c r="R612" s="142"/>
      <c r="S612" s="147">
        <v>16185.09</v>
      </c>
      <c r="T612" s="147"/>
      <c r="U612" s="147">
        <v>68.400000000000006</v>
      </c>
      <c r="V612" s="175">
        <f t="shared" si="133"/>
        <v>16116.69</v>
      </c>
      <c r="W612" s="175">
        <f>IF(O612="折扣",U612*P612,IF(O612="返现",U612,U612*(1+AG612)/(1+P612+AG612)))</f>
        <v>68.400000000000006</v>
      </c>
      <c r="X612" s="142"/>
      <c r="Y612" s="50">
        <f t="shared" si="140"/>
        <v>0</v>
      </c>
      <c r="Z612" s="50">
        <f t="shared" si="141"/>
        <v>68.400000000000006</v>
      </c>
      <c r="AA612" s="147">
        <f t="shared" si="132"/>
        <v>0</v>
      </c>
      <c r="AB612" s="175">
        <f t="shared" si="138"/>
        <v>68.400000000000006</v>
      </c>
      <c r="AC612" s="176">
        <v>0.05</v>
      </c>
      <c r="AD612" s="177">
        <f t="shared" si="136"/>
        <v>3.4200000000000004</v>
      </c>
      <c r="AE612" s="142"/>
      <c r="AG612" s="173">
        <v>0.42</v>
      </c>
      <c r="AH612" s="137">
        <f>AK612/(1+AG612)</f>
        <v>48.169014084507047</v>
      </c>
      <c r="AI612" s="147">
        <v>0</v>
      </c>
      <c r="AJ612" s="175">
        <f>T612*AG612</f>
        <v>0</v>
      </c>
      <c r="AK612" s="147">
        <v>68.400000000000006</v>
      </c>
      <c r="AL612" s="175">
        <f t="shared" si="137"/>
        <v>0</v>
      </c>
      <c r="AM612" s="147">
        <f>IF(O612="折扣",AK612*P612,IF(O612="返现",AK612/(1+AG612),AK612/(1+P612+AG612)))</f>
        <v>48.169014084507047</v>
      </c>
    </row>
    <row r="613" spans="1:39" x14ac:dyDescent="0.25">
      <c r="A613" s="123" t="s">
        <v>304</v>
      </c>
      <c r="B613" s="142" t="s">
        <v>71</v>
      </c>
      <c r="C613" s="142" t="s">
        <v>127</v>
      </c>
      <c r="D613" s="142" t="s">
        <v>153</v>
      </c>
      <c r="E613" s="142" t="s">
        <v>266</v>
      </c>
      <c r="F613" s="142" t="s">
        <v>267</v>
      </c>
      <c r="G613" s="142" t="s">
        <v>76</v>
      </c>
      <c r="H613" s="142" t="s">
        <v>298</v>
      </c>
      <c r="I613" s="142" t="s">
        <v>78</v>
      </c>
      <c r="J613" s="142" t="s">
        <v>78</v>
      </c>
      <c r="K613" s="142" t="s">
        <v>3</v>
      </c>
      <c r="L613" s="142" t="s">
        <v>125</v>
      </c>
      <c r="M613" s="142"/>
      <c r="N613" s="142" t="s">
        <v>126</v>
      </c>
      <c r="O613" s="142" t="s">
        <v>94</v>
      </c>
      <c r="P613" s="173">
        <v>0.13</v>
      </c>
      <c r="Q613" s="174"/>
      <c r="R613" s="142"/>
      <c r="S613" s="147">
        <v>20.729999999996402</v>
      </c>
      <c r="T613" s="147"/>
      <c r="U613" s="147">
        <v>0</v>
      </c>
      <c r="V613" s="175">
        <f t="shared" si="133"/>
        <v>20.729999999996402</v>
      </c>
      <c r="W613" s="175">
        <f>IF(O613="折扣",U613*P613,IF(O613="返现",U613,U613*(1+AG613)/(1+P613+AG613)))</f>
        <v>0</v>
      </c>
      <c r="X613" s="142"/>
      <c r="Y613" s="50">
        <f t="shared" si="140"/>
        <v>0</v>
      </c>
      <c r="Z613" s="50">
        <f t="shared" ref="Z613:Z618" si="142">W613+X613+AN613</f>
        <v>0</v>
      </c>
      <c r="AA613" s="147">
        <f t="shared" si="132"/>
        <v>0</v>
      </c>
      <c r="AB613" s="175">
        <f t="shared" si="138"/>
        <v>0</v>
      </c>
      <c r="AC613" s="176">
        <v>0.05</v>
      </c>
      <c r="AD613" s="177">
        <f t="shared" si="136"/>
        <v>0</v>
      </c>
      <c r="AE613" s="142"/>
      <c r="AG613" s="173">
        <v>0.42</v>
      </c>
      <c r="AH613" s="137">
        <f>AK613/(1+AG613)</f>
        <v>0</v>
      </c>
      <c r="AI613" s="147">
        <v>0</v>
      </c>
      <c r="AJ613" s="175">
        <f>T613*AG613</f>
        <v>0</v>
      </c>
      <c r="AK613" s="147">
        <v>0</v>
      </c>
      <c r="AL613" s="175">
        <f t="shared" si="137"/>
        <v>0</v>
      </c>
      <c r="AM613" s="147">
        <f>IF(O613="折扣",AK613*P613,IF(O613="返现",AK613/(1+AG613),AK613/(1+P613+AG613)))</f>
        <v>0</v>
      </c>
    </row>
    <row r="614" spans="1:39" x14ac:dyDescent="0.25">
      <c r="A614" s="123" t="s">
        <v>304</v>
      </c>
      <c r="B614" s="142" t="s">
        <v>71</v>
      </c>
      <c r="C614" s="142" t="s">
        <v>127</v>
      </c>
      <c r="D614" s="142" t="s">
        <v>128</v>
      </c>
      <c r="E614" s="142" t="s">
        <v>268</v>
      </c>
      <c r="F614" s="142" t="s">
        <v>269</v>
      </c>
      <c r="G614" s="142" t="s">
        <v>76</v>
      </c>
      <c r="H614" s="142" t="s">
        <v>298</v>
      </c>
      <c r="I614" s="142" t="s">
        <v>78</v>
      </c>
      <c r="J614" s="142" t="s">
        <v>78</v>
      </c>
      <c r="K614" s="142" t="s">
        <v>3</v>
      </c>
      <c r="L614" s="142" t="s">
        <v>125</v>
      </c>
      <c r="M614" s="142"/>
      <c r="N614" s="142" t="s">
        <v>126</v>
      </c>
      <c r="O614" s="142" t="s">
        <v>94</v>
      </c>
      <c r="P614" s="173">
        <v>0.03</v>
      </c>
      <c r="Q614" s="174"/>
      <c r="R614" s="142"/>
      <c r="S614" s="147">
        <v>22.61</v>
      </c>
      <c r="T614" s="147"/>
      <c r="U614" s="147">
        <v>0</v>
      </c>
      <c r="V614" s="175">
        <f t="shared" si="133"/>
        <v>22.61</v>
      </c>
      <c r="W614" s="175">
        <f>IF(O614="折扣",U614*P614,IF(O614="返现",U614,U614*(1+AG614)/(1+P614+AG614)))</f>
        <v>0</v>
      </c>
      <c r="X614" s="142"/>
      <c r="Y614" s="50">
        <f t="shared" si="140"/>
        <v>0</v>
      </c>
      <c r="Z614" s="50">
        <f t="shared" si="142"/>
        <v>0</v>
      </c>
      <c r="AA614" s="147">
        <f t="shared" si="132"/>
        <v>0</v>
      </c>
      <c r="AB614" s="175">
        <f t="shared" si="138"/>
        <v>0</v>
      </c>
      <c r="AC614" s="176">
        <v>0.05</v>
      </c>
      <c r="AD614" s="177">
        <f t="shared" si="136"/>
        <v>0</v>
      </c>
      <c r="AE614" s="142"/>
      <c r="AG614" s="173">
        <v>0.42</v>
      </c>
      <c r="AH614" s="137">
        <f>AK614/(1+AG614)</f>
        <v>0</v>
      </c>
      <c r="AI614" s="147">
        <v>0</v>
      </c>
      <c r="AJ614" s="175">
        <f>T614*AG614</f>
        <v>0</v>
      </c>
      <c r="AK614" s="147">
        <v>0</v>
      </c>
      <c r="AL614" s="175">
        <f t="shared" si="137"/>
        <v>0</v>
      </c>
      <c r="AM614" s="147">
        <f>IF(O614="折扣",AK614*P614,IF(O614="返现",AK614/(1+AG614),AK614/(1+P614+AG614)))</f>
        <v>0</v>
      </c>
    </row>
    <row r="615" spans="1:39" x14ac:dyDescent="0.25">
      <c r="A615" s="123" t="s">
        <v>304</v>
      </c>
      <c r="B615" s="142" t="s">
        <v>71</v>
      </c>
      <c r="C615" s="142" t="s">
        <v>127</v>
      </c>
      <c r="D615" s="142" t="s">
        <v>128</v>
      </c>
      <c r="E615" s="142" t="s">
        <v>270</v>
      </c>
      <c r="F615" s="142" t="s">
        <v>271</v>
      </c>
      <c r="G615" s="142" t="s">
        <v>76</v>
      </c>
      <c r="H615" s="142" t="s">
        <v>298</v>
      </c>
      <c r="I615" s="142" t="s">
        <v>78</v>
      </c>
      <c r="J615" s="142" t="s">
        <v>78</v>
      </c>
      <c r="K615" s="142" t="s">
        <v>3</v>
      </c>
      <c r="L615" s="142" t="s">
        <v>125</v>
      </c>
      <c r="M615" s="142"/>
      <c r="N615" s="142" t="s">
        <v>126</v>
      </c>
      <c r="O615" s="142" t="s">
        <v>94</v>
      </c>
      <c r="P615" s="173">
        <v>0.13</v>
      </c>
      <c r="Q615" s="174"/>
      <c r="R615" s="142"/>
      <c r="S615" s="147">
        <v>29.53</v>
      </c>
      <c r="T615" s="147"/>
      <c r="U615" s="147">
        <v>0</v>
      </c>
      <c r="V615" s="175">
        <f t="shared" si="133"/>
        <v>29.53</v>
      </c>
      <c r="W615" s="175">
        <f>IF(O615="折扣",U615*P615,IF(O615="返现",U615,U615*(1+AG615)/(1+P615+AG615)))</f>
        <v>0</v>
      </c>
      <c r="X615" s="142"/>
      <c r="Y615" s="50">
        <f t="shared" si="140"/>
        <v>0</v>
      </c>
      <c r="Z615" s="50">
        <f t="shared" si="142"/>
        <v>0</v>
      </c>
      <c r="AA615" s="147">
        <f t="shared" si="132"/>
        <v>0</v>
      </c>
      <c r="AB615" s="175">
        <f t="shared" si="138"/>
        <v>0</v>
      </c>
      <c r="AC615" s="176">
        <v>0.05</v>
      </c>
      <c r="AD615" s="177">
        <f t="shared" si="136"/>
        <v>0</v>
      </c>
      <c r="AE615" s="142"/>
      <c r="AG615" s="173">
        <v>0.42</v>
      </c>
      <c r="AH615" s="137">
        <f>AK615/(1+AG615)</f>
        <v>0</v>
      </c>
      <c r="AI615" s="147">
        <v>0</v>
      </c>
      <c r="AJ615" s="175">
        <f>T615*AG615</f>
        <v>0</v>
      </c>
      <c r="AK615" s="147">
        <v>0</v>
      </c>
      <c r="AL615" s="175">
        <f t="shared" si="137"/>
        <v>0</v>
      </c>
      <c r="AM615" s="147">
        <f>IF(O615="折扣",AK615*P615,IF(O615="返现",AK615/(1+AG615),AK615/(1+P615+AG615)))</f>
        <v>0</v>
      </c>
    </row>
    <row r="616" spans="1:39" x14ac:dyDescent="0.25">
      <c r="A616" s="123" t="s">
        <v>304</v>
      </c>
      <c r="B616" s="142" t="s">
        <v>71</v>
      </c>
      <c r="C616" s="142" t="s">
        <v>127</v>
      </c>
      <c r="D616" s="142" t="s">
        <v>128</v>
      </c>
      <c r="E616" s="142" t="s">
        <v>272</v>
      </c>
      <c r="F616" s="142" t="s">
        <v>273</v>
      </c>
      <c r="G616" s="142" t="s">
        <v>76</v>
      </c>
      <c r="H616" s="142" t="s">
        <v>298</v>
      </c>
      <c r="I616" s="142" t="s">
        <v>78</v>
      </c>
      <c r="J616" s="142" t="s">
        <v>78</v>
      </c>
      <c r="K616" s="142" t="s">
        <v>3</v>
      </c>
      <c r="L616" s="142" t="s">
        <v>125</v>
      </c>
      <c r="M616" s="142"/>
      <c r="N616" s="142" t="s">
        <v>126</v>
      </c>
      <c r="O616" s="142" t="s">
        <v>94</v>
      </c>
      <c r="P616" s="173">
        <v>0.21</v>
      </c>
      <c r="Q616" s="174"/>
      <c r="R616" s="142"/>
      <c r="S616" s="147">
        <v>1.90619718309881</v>
      </c>
      <c r="T616" s="147"/>
      <c r="U616" s="147">
        <v>0</v>
      </c>
      <c r="V616" s="175">
        <f t="shared" si="133"/>
        <v>1.90619718309881</v>
      </c>
      <c r="W616" s="175">
        <f>IF(O616="折扣",U616*P616,IF(O616="返现",U616,U616*(1+AG616)/(1+P616+AG616)))</f>
        <v>0</v>
      </c>
      <c r="X616" s="142"/>
      <c r="Y616" s="50">
        <f t="shared" si="140"/>
        <v>0</v>
      </c>
      <c r="Z616" s="50">
        <f t="shared" si="142"/>
        <v>0</v>
      </c>
      <c r="AA616" s="147">
        <f t="shared" si="132"/>
        <v>0</v>
      </c>
      <c r="AB616" s="175">
        <f t="shared" si="138"/>
        <v>0</v>
      </c>
      <c r="AC616" s="176">
        <v>0.05</v>
      </c>
      <c r="AD616" s="177">
        <f t="shared" si="136"/>
        <v>0</v>
      </c>
      <c r="AE616" s="142"/>
      <c r="AG616" s="173">
        <v>0.42</v>
      </c>
      <c r="AH616" s="137">
        <f>AK616/(1+AG616)</f>
        <v>0</v>
      </c>
      <c r="AI616" s="147">
        <v>0</v>
      </c>
      <c r="AJ616" s="175">
        <f>T616*AG616</f>
        <v>0</v>
      </c>
      <c r="AK616" s="147">
        <v>0</v>
      </c>
      <c r="AL616" s="175">
        <f t="shared" si="137"/>
        <v>0</v>
      </c>
      <c r="AM616" s="147">
        <f>IF(O616="折扣",AK616*P616,IF(O616="返现",AK616/(1+AG616),AK616/(1+P616+AG616)))</f>
        <v>0</v>
      </c>
    </row>
    <row r="617" spans="1:39" x14ac:dyDescent="0.25">
      <c r="A617" s="123" t="s">
        <v>304</v>
      </c>
      <c r="B617" s="142" t="s">
        <v>71</v>
      </c>
      <c r="C617" s="142" t="s">
        <v>127</v>
      </c>
      <c r="D617" s="142" t="s">
        <v>128</v>
      </c>
      <c r="E617" s="142" t="s">
        <v>274</v>
      </c>
      <c r="F617" s="142" t="s">
        <v>275</v>
      </c>
      <c r="G617" s="142" t="s">
        <v>76</v>
      </c>
      <c r="H617" s="142" t="s">
        <v>298</v>
      </c>
      <c r="I617" s="142" t="s">
        <v>78</v>
      </c>
      <c r="J617" s="142" t="s">
        <v>78</v>
      </c>
      <c r="K617" s="142" t="s">
        <v>3</v>
      </c>
      <c r="L617" s="142" t="s">
        <v>125</v>
      </c>
      <c r="M617" s="142"/>
      <c r="N617" s="142" t="s">
        <v>126</v>
      </c>
      <c r="O617" s="142" t="s">
        <v>94</v>
      </c>
      <c r="P617" s="173">
        <v>0.03</v>
      </c>
      <c r="Q617" s="174"/>
      <c r="R617" s="142"/>
      <c r="S617" s="147">
        <v>62.533943663001999</v>
      </c>
      <c r="T617" s="147"/>
      <c r="U617" s="147">
        <v>0</v>
      </c>
      <c r="V617" s="175">
        <f t="shared" si="133"/>
        <v>62.533943663001999</v>
      </c>
      <c r="W617" s="175">
        <f>IF(O617="折扣",U617*P617,IF(O617="返现",U617,U617*(1+AG617)/(1+P617+AG617)))</f>
        <v>0</v>
      </c>
      <c r="X617" s="142"/>
      <c r="Y617" s="50">
        <f t="shared" si="140"/>
        <v>0</v>
      </c>
      <c r="Z617" s="50">
        <f t="shared" si="142"/>
        <v>0</v>
      </c>
      <c r="AA617" s="147">
        <f t="shared" si="132"/>
        <v>0</v>
      </c>
      <c r="AB617" s="175">
        <f t="shared" si="138"/>
        <v>0</v>
      </c>
      <c r="AC617" s="176">
        <v>0.05</v>
      </c>
      <c r="AD617" s="177">
        <f t="shared" si="136"/>
        <v>0</v>
      </c>
      <c r="AE617" s="142"/>
      <c r="AG617" s="173">
        <v>0.42</v>
      </c>
      <c r="AH617" s="137">
        <f>AK617/(1+AG617)</f>
        <v>0</v>
      </c>
      <c r="AI617" s="147">
        <v>0</v>
      </c>
      <c r="AJ617" s="175">
        <f>T617*AG617</f>
        <v>0</v>
      </c>
      <c r="AK617" s="147">
        <v>0</v>
      </c>
      <c r="AL617" s="175">
        <f t="shared" si="137"/>
        <v>0</v>
      </c>
      <c r="AM617" s="147">
        <f>IF(O617="折扣",AK617*P617,IF(O617="返现",AK617/(1+AG617),AK617/(1+P617+AG617)))</f>
        <v>0</v>
      </c>
    </row>
    <row r="618" spans="1:39" x14ac:dyDescent="0.25">
      <c r="A618" s="123" t="s">
        <v>304</v>
      </c>
      <c r="B618" s="142" t="s">
        <v>71</v>
      </c>
      <c r="C618" s="142" t="s">
        <v>193</v>
      </c>
      <c r="D618" s="142" t="s">
        <v>194</v>
      </c>
      <c r="E618" s="142" t="s">
        <v>291</v>
      </c>
      <c r="F618" s="142" t="s">
        <v>292</v>
      </c>
      <c r="G618" s="142" t="s">
        <v>76</v>
      </c>
      <c r="H618" s="142" t="s">
        <v>298</v>
      </c>
      <c r="I618" s="142" t="s">
        <v>78</v>
      </c>
      <c r="J618" s="142" t="s">
        <v>78</v>
      </c>
      <c r="K618" s="142" t="s">
        <v>3</v>
      </c>
      <c r="L618" s="142" t="s">
        <v>291</v>
      </c>
      <c r="M618" s="142"/>
      <c r="N618" s="142" t="s">
        <v>80</v>
      </c>
      <c r="O618" s="142" t="s">
        <v>81</v>
      </c>
      <c r="P618" s="173">
        <v>0</v>
      </c>
      <c r="Q618" s="174"/>
      <c r="R618" s="142"/>
      <c r="S618" s="147">
        <v>21002.44</v>
      </c>
      <c r="T618" s="147"/>
      <c r="U618" s="147">
        <v>0</v>
      </c>
      <c r="V618" s="175">
        <f t="shared" si="133"/>
        <v>21002.44</v>
      </c>
      <c r="W618" s="175">
        <f>IF(O618="折扣",U618*P618,IF(O618="返现",U618,U618*(1+AG618)/(1+P618+AG618)))</f>
        <v>0</v>
      </c>
      <c r="X618" s="142"/>
      <c r="Y618" s="50">
        <f t="shared" si="140"/>
        <v>0</v>
      </c>
      <c r="Z618" s="50">
        <f t="shared" si="142"/>
        <v>0</v>
      </c>
      <c r="AA618" s="147">
        <f t="shared" si="132"/>
        <v>0</v>
      </c>
      <c r="AB618" s="175">
        <f t="shared" si="138"/>
        <v>0</v>
      </c>
      <c r="AC618" s="176">
        <v>0.05</v>
      </c>
      <c r="AD618" s="177">
        <f t="shared" si="136"/>
        <v>0</v>
      </c>
      <c r="AE618" s="142"/>
      <c r="AG618" s="173">
        <v>0</v>
      </c>
      <c r="AH618" s="137">
        <f>AK618/(1+AG618)</f>
        <v>0</v>
      </c>
      <c r="AI618" s="147">
        <v>0</v>
      </c>
      <c r="AJ618" s="175">
        <f>T618*AG618</f>
        <v>0</v>
      </c>
      <c r="AK618" s="147">
        <v>0</v>
      </c>
      <c r="AL618" s="175">
        <f t="shared" si="137"/>
        <v>0</v>
      </c>
      <c r="AM618" s="147">
        <f>IF(O618="折扣",AK618*P618,IF(O618="返现",AK618/(1+AG618),AK618/(1+P618+AG618)))</f>
        <v>0</v>
      </c>
    </row>
    <row r="619" spans="1:39" x14ac:dyDescent="0.25">
      <c r="A619" s="123" t="s">
        <v>304</v>
      </c>
      <c r="B619" s="142" t="s">
        <v>3</v>
      </c>
      <c r="C619" s="142" t="s">
        <v>72</v>
      </c>
      <c r="D619" s="142" t="s">
        <v>187</v>
      </c>
      <c r="E619" s="142" t="s">
        <v>188</v>
      </c>
      <c r="F619" s="142" t="s">
        <v>188</v>
      </c>
      <c r="G619" s="142" t="s">
        <v>188</v>
      </c>
      <c r="H619" s="142" t="s">
        <v>298</v>
      </c>
      <c r="I619" s="142" t="s">
        <v>78</v>
      </c>
      <c r="J619" s="142" t="s">
        <v>78</v>
      </c>
      <c r="K619" s="142" t="s">
        <v>3</v>
      </c>
      <c r="L619" s="142" t="s">
        <v>188</v>
      </c>
      <c r="M619" s="142"/>
      <c r="N619" s="142" t="s">
        <v>86</v>
      </c>
      <c r="O619" s="142" t="s">
        <v>94</v>
      </c>
      <c r="P619" s="173">
        <v>0.05</v>
      </c>
      <c r="Q619" s="174"/>
      <c r="R619" s="142"/>
      <c r="S619" s="147">
        <v>-7.31</v>
      </c>
      <c r="T619" s="147"/>
      <c r="U619" s="147">
        <v>0</v>
      </c>
      <c r="V619" s="175">
        <f t="shared" si="133"/>
        <v>-7.31</v>
      </c>
      <c r="W619" s="175">
        <f>IF(O619="折扣",U619*P619,IF(O619="返现",U619,U619*(1+AG619)/(1+P619+AG619)))</f>
        <v>0</v>
      </c>
      <c r="X619" s="142"/>
      <c r="Y619" s="50">
        <f t="shared" si="140"/>
        <v>0</v>
      </c>
      <c r="Z619" s="50">
        <f t="shared" ref="Z619:Z624" si="143">W619+X619+AN619</f>
        <v>0</v>
      </c>
      <c r="AA619" s="147">
        <f t="shared" si="132"/>
        <v>0</v>
      </c>
      <c r="AB619" s="175">
        <f t="shared" si="138"/>
        <v>0</v>
      </c>
      <c r="AC619" s="176">
        <v>0.05</v>
      </c>
      <c r="AD619" s="177">
        <f t="shared" si="136"/>
        <v>0</v>
      </c>
      <c r="AE619" s="142"/>
      <c r="AG619" s="173">
        <v>0.36</v>
      </c>
      <c r="AH619" s="137">
        <f>AK619/(1+AG619)</f>
        <v>0</v>
      </c>
      <c r="AI619" s="147">
        <v>-8.24</v>
      </c>
      <c r="AJ619" s="175">
        <f>T619*AG619</f>
        <v>0</v>
      </c>
      <c r="AK619" s="147">
        <v>0</v>
      </c>
      <c r="AL619" s="175">
        <f t="shared" si="137"/>
        <v>-8.24</v>
      </c>
      <c r="AM619" s="147">
        <f>IF(O619="折扣",AK619*P619,IF(O619="返现",AK619/(1+AG619),AK619/(1+P619+AG619)))</f>
        <v>0</v>
      </c>
    </row>
    <row r="620" spans="1:39" x14ac:dyDescent="0.25">
      <c r="A620" s="123" t="s">
        <v>304</v>
      </c>
      <c r="B620" s="142" t="s">
        <v>3</v>
      </c>
      <c r="C620" s="142" t="s">
        <v>95</v>
      </c>
      <c r="D620" s="142" t="s">
        <v>96</v>
      </c>
      <c r="E620" s="142" t="s">
        <v>191</v>
      </c>
      <c r="F620" s="142" t="s">
        <v>191</v>
      </c>
      <c r="G620" s="142" t="s">
        <v>191</v>
      </c>
      <c r="H620" s="142" t="s">
        <v>298</v>
      </c>
      <c r="I620" s="142" t="s">
        <v>78</v>
      </c>
      <c r="J620" s="142" t="s">
        <v>78</v>
      </c>
      <c r="K620" s="142" t="s">
        <v>3</v>
      </c>
      <c r="L620" s="142" t="s">
        <v>192</v>
      </c>
      <c r="M620" s="142"/>
      <c r="N620" s="142" t="s">
        <v>126</v>
      </c>
      <c r="O620" s="142" t="s">
        <v>94</v>
      </c>
      <c r="P620" s="173">
        <v>0.03</v>
      </c>
      <c r="Q620" s="174"/>
      <c r="R620" s="142"/>
      <c r="S620" s="147">
        <v>-2225.85</v>
      </c>
      <c r="T620" s="147"/>
      <c r="U620" s="147">
        <v>0</v>
      </c>
      <c r="V620" s="175">
        <f t="shared" si="133"/>
        <v>-2225.85</v>
      </c>
      <c r="W620" s="175">
        <f>IF(O620="折扣",U620*P620,IF(O620="返现",U620,U620*(1+AG620)/(1+P620+AG620)))</f>
        <v>0</v>
      </c>
      <c r="X620" s="142"/>
      <c r="Y620" s="50">
        <f t="shared" si="140"/>
        <v>0</v>
      </c>
      <c r="Z620" s="50">
        <f t="shared" si="143"/>
        <v>0</v>
      </c>
      <c r="AA620" s="147">
        <f t="shared" si="132"/>
        <v>0</v>
      </c>
      <c r="AB620" s="175">
        <f t="shared" si="138"/>
        <v>0</v>
      </c>
      <c r="AC620" s="176">
        <v>0.05</v>
      </c>
      <c r="AD620" s="177">
        <f t="shared" si="136"/>
        <v>0</v>
      </c>
      <c r="AE620" s="142"/>
      <c r="AG620" s="173">
        <v>0</v>
      </c>
      <c r="AH620" s="137">
        <f>AK620/(1+AG620)</f>
        <v>0</v>
      </c>
      <c r="AI620" s="147">
        <v>-801.28</v>
      </c>
      <c r="AJ620" s="175">
        <f>T620*AG620</f>
        <v>0</v>
      </c>
      <c r="AK620" s="147">
        <v>0</v>
      </c>
      <c r="AL620" s="175">
        <f t="shared" si="137"/>
        <v>-801.28</v>
      </c>
      <c r="AM620" s="147">
        <f>IF(O620="折扣",AK620*P620,IF(O620="返现",AK620/(1+AG620),AK620/(1+P620+AG620)))</f>
        <v>0</v>
      </c>
    </row>
    <row r="621" spans="1:39" x14ac:dyDescent="0.25">
      <c r="A621" s="123" t="s">
        <v>304</v>
      </c>
      <c r="B621" s="142" t="s">
        <v>3</v>
      </c>
      <c r="C621" s="142" t="s">
        <v>95</v>
      </c>
      <c r="D621" s="142" t="s">
        <v>96</v>
      </c>
      <c r="E621" s="142" t="s">
        <v>198</v>
      </c>
      <c r="F621" s="142" t="s">
        <v>238</v>
      </c>
      <c r="G621" s="142" t="s">
        <v>198</v>
      </c>
      <c r="H621" s="142" t="s">
        <v>298</v>
      </c>
      <c r="I621" s="142" t="s">
        <v>78</v>
      </c>
      <c r="J621" s="142" t="s">
        <v>78</v>
      </c>
      <c r="K621" s="142" t="s">
        <v>3</v>
      </c>
      <c r="L621" s="142" t="s">
        <v>198</v>
      </c>
      <c r="M621" s="142"/>
      <c r="N621" s="142" t="s">
        <v>126</v>
      </c>
      <c r="O621" s="142" t="s">
        <v>94</v>
      </c>
      <c r="P621" s="173">
        <v>0.04</v>
      </c>
      <c r="Q621" s="174"/>
      <c r="R621" s="142"/>
      <c r="S621" s="147">
        <v>0</v>
      </c>
      <c r="T621" s="147"/>
      <c r="U621" s="147">
        <v>4050.45</v>
      </c>
      <c r="V621" s="175">
        <f t="shared" si="133"/>
        <v>-4050.45</v>
      </c>
      <c r="W621" s="175">
        <f>IF(O621="折扣",U621*P621,IF(O621="返现",U621,U621*(1+AG621)/(1+P621+AG621)))</f>
        <v>3894.6634615384614</v>
      </c>
      <c r="X621" s="142"/>
      <c r="Y621" s="50">
        <f t="shared" si="140"/>
        <v>0</v>
      </c>
      <c r="Z621" s="50">
        <f t="shared" si="143"/>
        <v>3894.6634615384614</v>
      </c>
      <c r="AA621" s="147">
        <f t="shared" si="132"/>
        <v>155.78653846153838</v>
      </c>
      <c r="AB621" s="175">
        <f t="shared" si="138"/>
        <v>4050.45</v>
      </c>
      <c r="AC621" s="176">
        <v>0.05</v>
      </c>
      <c r="AD621" s="177">
        <f t="shared" si="136"/>
        <v>202.52250000000001</v>
      </c>
      <c r="AE621" s="142"/>
      <c r="AG621" s="173">
        <v>0</v>
      </c>
      <c r="AH621" s="137">
        <f>AK621/(1+AG621)</f>
        <v>4050.45</v>
      </c>
      <c r="AI621" s="147">
        <v>0</v>
      </c>
      <c r="AJ621" s="175">
        <f>T621*AG621</f>
        <v>0</v>
      </c>
      <c r="AK621" s="147">
        <v>4050.45</v>
      </c>
      <c r="AL621" s="175">
        <f t="shared" si="137"/>
        <v>0</v>
      </c>
      <c r="AM621" s="147">
        <f>IF(O621="折扣",AK621*P621,IF(O621="返现",AK621/(1+AG621),AK621/(1+P621+AG621)))</f>
        <v>3894.6634615384614</v>
      </c>
    </row>
    <row r="622" spans="1:39" x14ac:dyDescent="0.25">
      <c r="A622" s="123" t="s">
        <v>304</v>
      </c>
      <c r="B622" s="82" t="s">
        <v>3</v>
      </c>
      <c r="C622" s="82" t="s">
        <v>82</v>
      </c>
      <c r="D622" s="82" t="s">
        <v>83</v>
      </c>
      <c r="E622" s="82" t="s">
        <v>88</v>
      </c>
      <c r="F622" s="82" t="s">
        <v>88</v>
      </c>
      <c r="G622" s="82" t="s">
        <v>88</v>
      </c>
      <c r="H622" s="82" t="s">
        <v>298</v>
      </c>
      <c r="I622" s="142" t="s">
        <v>78</v>
      </c>
      <c r="J622" s="142" t="s">
        <v>78</v>
      </c>
      <c r="K622" s="142" t="s">
        <v>3</v>
      </c>
      <c r="L622" s="82"/>
      <c r="M622" s="82"/>
      <c r="N622" s="82" t="s">
        <v>201</v>
      </c>
      <c r="O622" s="82" t="s">
        <v>81</v>
      </c>
      <c r="P622" s="176">
        <v>0</v>
      </c>
      <c r="Q622" s="82"/>
      <c r="R622" s="82"/>
      <c r="S622" s="177">
        <v>0</v>
      </c>
      <c r="T622" s="177">
        <v>3704750</v>
      </c>
      <c r="U622" s="177">
        <v>6410256.4100000001</v>
      </c>
      <c r="V622" s="175">
        <v>0</v>
      </c>
      <c r="W622" s="177">
        <v>6410256.4100000001</v>
      </c>
      <c r="X622" s="177">
        <v>384615.38433962298</v>
      </c>
      <c r="Y622" s="50">
        <f t="shared" si="140"/>
        <v>2705506.41</v>
      </c>
      <c r="Z622" s="50">
        <f t="shared" si="143"/>
        <v>6794871.7943396233</v>
      </c>
      <c r="AA622" s="147">
        <f t="shared" si="132"/>
        <v>0</v>
      </c>
      <c r="AB622" s="177">
        <v>3704750</v>
      </c>
      <c r="AC622" s="176">
        <v>0.05</v>
      </c>
      <c r="AD622" s="177">
        <f t="shared" si="136"/>
        <v>185237.5</v>
      </c>
      <c r="AE622" s="82"/>
      <c r="AG622" s="176">
        <v>0.35</v>
      </c>
      <c r="AH622" s="55">
        <f>AK622/(1+AG622)</f>
        <v>0</v>
      </c>
      <c r="AI622" s="177">
        <v>0</v>
      </c>
      <c r="AJ622" s="142"/>
      <c r="AK622" s="142"/>
      <c r="AL622" s="142"/>
      <c r="AM622" s="142"/>
    </row>
    <row r="623" spans="1:39" x14ac:dyDescent="0.25">
      <c r="A623" s="123" t="s">
        <v>304</v>
      </c>
      <c r="B623" s="82" t="s">
        <v>3</v>
      </c>
      <c r="C623" s="82" t="s">
        <v>95</v>
      </c>
      <c r="D623" s="82" t="s">
        <v>96</v>
      </c>
      <c r="E623" s="82" t="s">
        <v>192</v>
      </c>
      <c r="F623" s="82" t="s">
        <v>192</v>
      </c>
      <c r="G623" s="82" t="s">
        <v>192</v>
      </c>
      <c r="H623" s="82" t="s">
        <v>298</v>
      </c>
      <c r="I623" s="142" t="s">
        <v>78</v>
      </c>
      <c r="J623" s="142" t="s">
        <v>78</v>
      </c>
      <c r="K623" s="142" t="s">
        <v>3</v>
      </c>
      <c r="L623" s="82"/>
      <c r="M623" s="82"/>
      <c r="N623" s="82" t="s">
        <v>201</v>
      </c>
      <c r="O623" s="82" t="s">
        <v>81</v>
      </c>
      <c r="P623" s="176">
        <v>0</v>
      </c>
      <c r="Q623" s="82"/>
      <c r="R623" s="82"/>
      <c r="S623" s="177">
        <v>0</v>
      </c>
      <c r="T623" s="177">
        <v>95400</v>
      </c>
      <c r="U623" s="177">
        <v>95400</v>
      </c>
      <c r="V623" s="175">
        <f>S623+T623-U623</f>
        <v>0</v>
      </c>
      <c r="W623" s="177">
        <v>95400</v>
      </c>
      <c r="X623" s="177"/>
      <c r="Y623" s="50">
        <f t="shared" si="140"/>
        <v>0</v>
      </c>
      <c r="Z623" s="50">
        <f t="shared" si="143"/>
        <v>95400</v>
      </c>
      <c r="AA623" s="147">
        <f t="shared" si="132"/>
        <v>0</v>
      </c>
      <c r="AB623" s="177">
        <v>95400</v>
      </c>
      <c r="AC623" s="176">
        <v>0.05</v>
      </c>
      <c r="AD623" s="177">
        <f t="shared" si="136"/>
        <v>4770</v>
      </c>
      <c r="AE623" s="82"/>
      <c r="AG623" s="176">
        <v>0</v>
      </c>
      <c r="AH623" s="55">
        <f>AK623/(1+AG623)</f>
        <v>0</v>
      </c>
      <c r="AI623" s="177">
        <v>0</v>
      </c>
      <c r="AJ623" s="142"/>
      <c r="AK623" s="142"/>
      <c r="AL623" s="142"/>
      <c r="AM623" s="142"/>
    </row>
    <row r="624" spans="1:39" x14ac:dyDescent="0.25">
      <c r="A624" s="123" t="s">
        <v>304</v>
      </c>
      <c r="B624" s="82" t="s">
        <v>3</v>
      </c>
      <c r="C624" s="82" t="s">
        <v>82</v>
      </c>
      <c r="D624" s="82" t="s">
        <v>83</v>
      </c>
      <c r="E624" s="82" t="s">
        <v>88</v>
      </c>
      <c r="F624" s="82" t="s">
        <v>88</v>
      </c>
      <c r="G624" s="82" t="s">
        <v>88</v>
      </c>
      <c r="H624" s="82" t="s">
        <v>299</v>
      </c>
      <c r="I624" s="142" t="s">
        <v>203</v>
      </c>
      <c r="J624" s="142" t="s">
        <v>244</v>
      </c>
      <c r="K624" s="142" t="s">
        <v>3</v>
      </c>
      <c r="L624" s="82"/>
      <c r="M624" s="82"/>
      <c r="N624" s="82" t="s">
        <v>86</v>
      </c>
      <c r="O624" s="82" t="s">
        <v>81</v>
      </c>
      <c r="P624" s="176">
        <v>0</v>
      </c>
      <c r="Q624" s="82"/>
      <c r="R624" s="82"/>
      <c r="S624" s="177">
        <v>0</v>
      </c>
      <c r="T624" s="177">
        <v>151100.51</v>
      </c>
      <c r="U624" s="177">
        <v>151100.51</v>
      </c>
      <c r="V624" s="175">
        <f>S624+T624-U624</f>
        <v>0</v>
      </c>
      <c r="W624" s="177">
        <v>0</v>
      </c>
      <c r="X624" s="177"/>
      <c r="Y624" s="50">
        <f t="shared" si="140"/>
        <v>0</v>
      </c>
      <c r="Z624" s="50">
        <f t="shared" si="143"/>
        <v>0</v>
      </c>
      <c r="AA624" s="147">
        <f t="shared" si="132"/>
        <v>151100.51</v>
      </c>
      <c r="AB624" s="177">
        <v>151100.51</v>
      </c>
      <c r="AC624" s="176">
        <v>0</v>
      </c>
      <c r="AD624" s="177"/>
      <c r="AE624" s="82"/>
      <c r="AG624" s="176">
        <v>0</v>
      </c>
      <c r="AH624" s="55">
        <f>AK624/(1+AG624)</f>
        <v>0</v>
      </c>
      <c r="AI624" s="177">
        <v>0</v>
      </c>
      <c r="AJ624" s="142"/>
      <c r="AK624" s="142"/>
      <c r="AL624" s="142"/>
      <c r="AM624" s="142"/>
    </row>
    <row r="625" spans="28:28" x14ac:dyDescent="0.25">
      <c r="AB625" s="99"/>
    </row>
  </sheetData>
  <autoFilter ref="A1:AN624" xr:uid="{497D6767-2394-4472-9EBC-30B9094189D5}">
    <filterColumn colId="0">
      <filters>
        <filter val="2020年10月"/>
      </filters>
    </filterColumn>
  </autoFilter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U64"/>
  <sheetViews>
    <sheetView workbookViewId="0">
      <pane xSplit="2" ySplit="1" topLeftCell="C2" activePane="bottomRight" state="frozen"/>
      <selection pane="topRight"/>
      <selection pane="bottomLeft"/>
      <selection pane="bottomRight" activeCell="G61" sqref="G61"/>
    </sheetView>
  </sheetViews>
  <sheetFormatPr defaultColWidth="9" defaultRowHeight="11.5" x14ac:dyDescent="0.25"/>
  <cols>
    <col min="1" max="1" width="22.54296875" style="186" customWidth="1"/>
    <col min="2" max="2" width="5.90625" style="186" customWidth="1"/>
    <col min="3" max="3" width="29.90625" style="186" customWidth="1"/>
    <col min="4" max="4" width="30.1796875" style="186" customWidth="1"/>
    <col min="5" max="5" width="11.26953125" style="215" customWidth="1"/>
    <col min="6" max="6" width="8" style="186" customWidth="1"/>
    <col min="7" max="7" width="15.453125" style="141" customWidth="1"/>
    <col min="8" max="8" width="16.08984375" style="186" customWidth="1"/>
    <col min="9" max="9" width="6.90625" style="186" customWidth="1"/>
    <col min="10" max="10" width="12.6328125" style="141" customWidth="1"/>
    <col min="11" max="12" width="14.36328125" style="186" customWidth="1"/>
    <col min="13" max="13" width="14" style="186" customWidth="1"/>
    <col min="14" max="14" width="8" style="186" customWidth="1"/>
    <col min="15" max="15" width="15.453125" style="141" customWidth="1"/>
    <col min="16" max="16" width="10.08984375" style="216" customWidth="1"/>
    <col min="17" max="18" width="15.90625" style="186" customWidth="1"/>
    <col min="19" max="19" width="8.453125" style="186" customWidth="1"/>
    <col min="20" max="20" width="9.36328125" style="186" customWidth="1"/>
    <col min="21" max="21" width="8" style="186" customWidth="1"/>
    <col min="22" max="16384" width="9" style="186"/>
  </cols>
  <sheetData>
    <row r="1" spans="1:21" x14ac:dyDescent="0.25">
      <c r="A1" s="178" t="s">
        <v>39</v>
      </c>
      <c r="B1" s="179" t="s">
        <v>38</v>
      </c>
      <c r="C1" s="179" t="s">
        <v>306</v>
      </c>
      <c r="D1" s="179" t="s">
        <v>36</v>
      </c>
      <c r="E1" s="180" t="s">
        <v>307</v>
      </c>
      <c r="F1" s="179" t="s">
        <v>43</v>
      </c>
      <c r="G1" s="181" t="s">
        <v>57</v>
      </c>
      <c r="H1" s="179" t="s">
        <v>308</v>
      </c>
      <c r="I1" s="179" t="s">
        <v>309</v>
      </c>
      <c r="J1" s="181" t="s">
        <v>310</v>
      </c>
      <c r="K1" s="179" t="s">
        <v>311</v>
      </c>
      <c r="L1" s="179" t="s">
        <v>312</v>
      </c>
      <c r="M1" s="179" t="s">
        <v>313</v>
      </c>
      <c r="N1" s="179" t="s">
        <v>44</v>
      </c>
      <c r="O1" s="182" t="s">
        <v>52</v>
      </c>
      <c r="P1" s="183" t="s">
        <v>314</v>
      </c>
      <c r="Q1" s="184" t="s">
        <v>315</v>
      </c>
      <c r="R1" s="184" t="s">
        <v>316</v>
      </c>
      <c r="S1" s="184" t="s">
        <v>317</v>
      </c>
      <c r="T1" s="184" t="s">
        <v>318</v>
      </c>
      <c r="U1" s="185" t="s">
        <v>319</v>
      </c>
    </row>
    <row r="2" spans="1:21" x14ac:dyDescent="0.25">
      <c r="A2" s="187" t="s">
        <v>79</v>
      </c>
      <c r="B2" s="187" t="s">
        <v>78</v>
      </c>
      <c r="C2" s="187" t="s">
        <v>77</v>
      </c>
      <c r="D2" s="187" t="s">
        <v>320</v>
      </c>
      <c r="E2" s="188" t="s">
        <v>70</v>
      </c>
      <c r="F2" s="187" t="s">
        <v>86</v>
      </c>
      <c r="G2" s="189">
        <f>1521642.54+249841.48-254831.51</f>
        <v>1516652.51</v>
      </c>
      <c r="H2" s="189">
        <f>1521642.54+249841.48-254831.51</f>
        <v>1516652.51</v>
      </c>
      <c r="I2" s="190">
        <f>J2/H2</f>
        <v>8.3756283675168283E-2</v>
      </c>
      <c r="J2" s="191">
        <v>127029.17786421601</v>
      </c>
      <c r="K2" s="189"/>
      <c r="L2" s="189"/>
      <c r="M2" s="192">
        <f t="shared" ref="M2:M10" si="0">J2-K2</f>
        <v>127029.17786421601</v>
      </c>
      <c r="N2" s="187" t="s">
        <v>87</v>
      </c>
      <c r="O2" s="191">
        <f>SUMIFS(客户表!Z:Z,客户表!J:J,A2,客户表!A:A,E2,客户表!N:N,F2)</f>
        <v>1551426.0573919206</v>
      </c>
      <c r="P2" s="193"/>
      <c r="Q2" s="194">
        <f>(O2-G2+J2)/1.06</f>
        <v>152644.08043031752</v>
      </c>
      <c r="R2" s="194">
        <f>Q2-(P2/1.06)</f>
        <v>152644.08043031752</v>
      </c>
      <c r="S2" s="195">
        <f>IFERROR(R2/O2,"-")</f>
        <v>9.8389529879964258E-2</v>
      </c>
      <c r="T2" s="187"/>
      <c r="U2" s="187" t="s">
        <v>3</v>
      </c>
    </row>
    <row r="3" spans="1:21" hidden="1" x14ac:dyDescent="0.25">
      <c r="A3" s="187" t="s">
        <v>79</v>
      </c>
      <c r="B3" s="187" t="s">
        <v>78</v>
      </c>
      <c r="C3" s="187" t="s">
        <v>77</v>
      </c>
      <c r="D3" s="187" t="s">
        <v>320</v>
      </c>
      <c r="E3" s="188" t="s">
        <v>70</v>
      </c>
      <c r="F3" s="187" t="s">
        <v>80</v>
      </c>
      <c r="G3" s="189">
        <v>19880.91</v>
      </c>
      <c r="H3" s="189">
        <v>19880.91</v>
      </c>
      <c r="I3" s="190">
        <f>J3/H3</f>
        <v>8.3756283675168283E-2</v>
      </c>
      <c r="J3" s="191">
        <v>1665.1511376804899</v>
      </c>
      <c r="K3" s="189"/>
      <c r="L3" s="189"/>
      <c r="M3" s="192">
        <f t="shared" si="0"/>
        <v>1665.1511376804899</v>
      </c>
      <c r="N3" s="187" t="s">
        <v>87</v>
      </c>
      <c r="O3" s="191">
        <f>SUMIFS(客户表!Z:Z,客户表!J:J,A3,客户表!A:A,E3,客户表!N:N,F3)</f>
        <v>19680.11890909091</v>
      </c>
      <c r="P3" s="193"/>
      <c r="Q3" s="194">
        <f t="shared" ref="Q3:Q34" si="1">(O3-G3+J3)/1.06</f>
        <v>1381.47174223717</v>
      </c>
      <c r="R3" s="194">
        <f t="shared" ref="R3:R43" si="2">Q3-(P3/1.06)</f>
        <v>1381.47174223717</v>
      </c>
      <c r="S3" s="195">
        <f t="shared" ref="S3:S43" si="3">IFERROR(R3/O3,"-")</f>
        <v>7.0196310734637973E-2</v>
      </c>
      <c r="T3" s="187"/>
      <c r="U3" s="187" t="s">
        <v>3</v>
      </c>
    </row>
    <row r="4" spans="1:21" hidden="1" x14ac:dyDescent="0.25">
      <c r="A4" s="187" t="s">
        <v>79</v>
      </c>
      <c r="B4" s="187" t="s">
        <v>78</v>
      </c>
      <c r="C4" s="187" t="s">
        <v>77</v>
      </c>
      <c r="D4" s="187" t="s">
        <v>320</v>
      </c>
      <c r="E4" s="188" t="s">
        <v>70</v>
      </c>
      <c r="F4" s="187" t="s">
        <v>126</v>
      </c>
      <c r="G4" s="189">
        <v>3591.69</v>
      </c>
      <c r="H4" s="189">
        <v>3591.69</v>
      </c>
      <c r="I4" s="190">
        <f>J4/H4</f>
        <v>8.3756283675168505E-2</v>
      </c>
      <c r="J4" s="191">
        <v>300.82660651326597</v>
      </c>
      <c r="K4" s="189"/>
      <c r="L4" s="189"/>
      <c r="M4" s="192">
        <f t="shared" si="0"/>
        <v>300.82660651326597</v>
      </c>
      <c r="N4" s="187" t="s">
        <v>87</v>
      </c>
      <c r="O4" s="191">
        <f>SUMIFS(客户表!Z:Z,客户表!J:J,A4,客户表!A:A,E4,客户表!N:N,F4)</f>
        <v>3187.624875</v>
      </c>
      <c r="P4" s="193"/>
      <c r="Q4" s="194">
        <f t="shared" si="1"/>
        <v>-97.394828761069903</v>
      </c>
      <c r="R4" s="194">
        <f t="shared" si="2"/>
        <v>-97.394828761069903</v>
      </c>
      <c r="S4" s="195">
        <f t="shared" si="3"/>
        <v>-3.0554043396047316E-2</v>
      </c>
      <c r="T4" s="187"/>
      <c r="U4" s="187" t="s">
        <v>3</v>
      </c>
    </row>
    <row r="5" spans="1:21" hidden="1" x14ac:dyDescent="0.25">
      <c r="A5" s="187" t="s">
        <v>79</v>
      </c>
      <c r="B5" s="187" t="s">
        <v>78</v>
      </c>
      <c r="C5" s="187" t="s">
        <v>77</v>
      </c>
      <c r="D5" s="187" t="s">
        <v>320</v>
      </c>
      <c r="E5" s="188" t="s">
        <v>70</v>
      </c>
      <c r="F5" s="187" t="s">
        <v>201</v>
      </c>
      <c r="G5" s="189">
        <v>4881660</v>
      </c>
      <c r="H5" s="189">
        <v>4881660</v>
      </c>
      <c r="I5" s="190">
        <f t="shared" ref="I5:I6" si="4">J5/H5</f>
        <v>8.3756283675168491E-2</v>
      </c>
      <c r="J5" s="191">
        <v>408869.69976572302</v>
      </c>
      <c r="K5" s="189">
        <v>0</v>
      </c>
      <c r="L5" s="189"/>
      <c r="M5" s="192">
        <f t="shared" si="0"/>
        <v>408869.69976572302</v>
      </c>
      <c r="N5" s="187" t="s">
        <v>321</v>
      </c>
      <c r="O5" s="191">
        <f>SUMIFS(客户表!Z:Z,客户表!J:J,A5,客户表!A:A,E5,客户表!N:N,F5)</f>
        <v>8310399.3200000003</v>
      </c>
      <c r="P5" s="193"/>
      <c r="Q5" s="194">
        <f t="shared" si="1"/>
        <v>3620385.8677035128</v>
      </c>
      <c r="R5" s="194">
        <f t="shared" si="2"/>
        <v>3620385.8677035128</v>
      </c>
      <c r="S5" s="195">
        <f t="shared" si="3"/>
        <v>0.43564523536078559</v>
      </c>
      <c r="T5" s="187"/>
      <c r="U5" s="187" t="s">
        <v>3</v>
      </c>
    </row>
    <row r="6" spans="1:21" hidden="1" x14ac:dyDescent="0.25">
      <c r="A6" s="187" t="s">
        <v>200</v>
      </c>
      <c r="B6" s="187" t="s">
        <v>78</v>
      </c>
      <c r="C6" s="187" t="s">
        <v>77</v>
      </c>
      <c r="D6" s="187" t="s">
        <v>320</v>
      </c>
      <c r="E6" s="188" t="s">
        <v>70</v>
      </c>
      <c r="F6" s="187" t="s">
        <v>201</v>
      </c>
      <c r="G6" s="189">
        <v>256760</v>
      </c>
      <c r="H6" s="189">
        <v>256760</v>
      </c>
      <c r="I6" s="190">
        <f t="shared" si="4"/>
        <v>8.3756283675168242E-2</v>
      </c>
      <c r="J6" s="191">
        <v>21505.263396436199</v>
      </c>
      <c r="K6" s="189">
        <v>0</v>
      </c>
      <c r="L6" s="189"/>
      <c r="M6" s="192">
        <f t="shared" si="0"/>
        <v>21505.263396436199</v>
      </c>
      <c r="N6" s="187" t="s">
        <v>321</v>
      </c>
      <c r="O6" s="191">
        <f>SUMIFS(客户表!Z:Z,客户表!J:J,A6,客户表!A:A,E6,客户表!N:N,F6)</f>
        <v>256760</v>
      </c>
      <c r="P6" s="193"/>
      <c r="Q6" s="194">
        <f t="shared" si="1"/>
        <v>20287.984336260564</v>
      </c>
      <c r="R6" s="194">
        <f t="shared" si="2"/>
        <v>20287.984336260564</v>
      </c>
      <c r="S6" s="195">
        <f t="shared" si="3"/>
        <v>7.9015361957705893E-2</v>
      </c>
      <c r="T6" s="187"/>
      <c r="U6" s="187" t="s">
        <v>3</v>
      </c>
    </row>
    <row r="7" spans="1:21" hidden="1" x14ac:dyDescent="0.25">
      <c r="A7" s="187" t="s">
        <v>204</v>
      </c>
      <c r="B7" s="187" t="s">
        <v>203</v>
      </c>
      <c r="C7" s="187" t="s">
        <v>322</v>
      </c>
      <c r="D7" s="187" t="s">
        <v>322</v>
      </c>
      <c r="E7" s="188" t="s">
        <v>70</v>
      </c>
      <c r="F7" s="187" t="s">
        <v>86</v>
      </c>
      <c r="G7" s="189">
        <v>292652.43</v>
      </c>
      <c r="H7" s="189">
        <v>292652.43</v>
      </c>
      <c r="I7" s="190">
        <v>0</v>
      </c>
      <c r="J7" s="192">
        <f t="shared" ref="J7:J10" si="5">H7*I7</f>
        <v>0</v>
      </c>
      <c r="K7" s="189">
        <v>0</v>
      </c>
      <c r="L7" s="189"/>
      <c r="M7" s="192">
        <f t="shared" si="0"/>
        <v>0</v>
      </c>
      <c r="N7" s="187" t="s">
        <v>81</v>
      </c>
      <c r="O7" s="191">
        <f>SUMIFS(客户表!Z:Z,客户表!J:J,A7,客户表!A:A,E7,客户表!N:N,F7)</f>
        <v>0</v>
      </c>
      <c r="P7" s="193"/>
      <c r="Q7" s="194">
        <f t="shared" si="1"/>
        <v>-276087.19811320753</v>
      </c>
      <c r="R7" s="194">
        <f t="shared" si="2"/>
        <v>-276087.19811320753</v>
      </c>
      <c r="S7" s="195" t="str">
        <f t="shared" si="3"/>
        <v>-</v>
      </c>
      <c r="T7" s="187"/>
      <c r="U7" s="187" t="s">
        <v>3</v>
      </c>
    </row>
    <row r="8" spans="1:21" hidden="1" x14ac:dyDescent="0.25">
      <c r="A8" s="187" t="s">
        <v>207</v>
      </c>
      <c r="B8" s="187" t="s">
        <v>203</v>
      </c>
      <c r="C8" s="187" t="s">
        <v>206</v>
      </c>
      <c r="D8" s="187" t="s">
        <v>206</v>
      </c>
      <c r="E8" s="188" t="s">
        <v>70</v>
      </c>
      <c r="F8" s="187" t="s">
        <v>86</v>
      </c>
      <c r="G8" s="189">
        <v>81000</v>
      </c>
      <c r="H8" s="189">
        <v>81000</v>
      </c>
      <c r="I8" s="190">
        <v>0</v>
      </c>
      <c r="J8" s="192">
        <f t="shared" si="5"/>
        <v>0</v>
      </c>
      <c r="K8" s="189">
        <v>0</v>
      </c>
      <c r="L8" s="189"/>
      <c r="M8" s="192">
        <f t="shared" si="0"/>
        <v>0</v>
      </c>
      <c r="N8" s="187" t="s">
        <v>81</v>
      </c>
      <c r="O8" s="191">
        <f>SUMIFS(客户表!Z:Z,客户表!J:J,A8,客户表!A:A,E8,客户表!N:N,F8)</f>
        <v>0</v>
      </c>
      <c r="P8" s="193"/>
      <c r="Q8" s="194">
        <f t="shared" si="1"/>
        <v>-76415.094339622636</v>
      </c>
      <c r="R8" s="194">
        <f t="shared" si="2"/>
        <v>-76415.094339622636</v>
      </c>
      <c r="S8" s="195" t="str">
        <f t="shared" si="3"/>
        <v>-</v>
      </c>
      <c r="T8" s="187"/>
      <c r="U8" s="187" t="s">
        <v>3</v>
      </c>
    </row>
    <row r="9" spans="1:21" hidden="1" x14ac:dyDescent="0.25">
      <c r="A9" s="187" t="s">
        <v>211</v>
      </c>
      <c r="B9" s="187" t="s">
        <v>203</v>
      </c>
      <c r="C9" s="187" t="s">
        <v>210</v>
      </c>
      <c r="D9" s="187" t="s">
        <v>210</v>
      </c>
      <c r="E9" s="188" t="s">
        <v>70</v>
      </c>
      <c r="F9" s="187" t="s">
        <v>212</v>
      </c>
      <c r="G9" s="189">
        <v>13390650</v>
      </c>
      <c r="H9" s="189">
        <v>13390650</v>
      </c>
      <c r="I9" s="190">
        <v>0</v>
      </c>
      <c r="J9" s="192">
        <f t="shared" si="5"/>
        <v>0</v>
      </c>
      <c r="K9" s="189">
        <v>0</v>
      </c>
      <c r="L9" s="189"/>
      <c r="M9" s="192">
        <f t="shared" si="0"/>
        <v>0</v>
      </c>
      <c r="N9" s="187" t="s">
        <v>81</v>
      </c>
      <c r="O9" s="191">
        <f>SUMIFS(客户表!Z:Z,客户表!J:J,A9,客户表!A:A,E9,客户表!N:N,F9)</f>
        <v>13107305.960000001</v>
      </c>
      <c r="P9" s="193"/>
      <c r="Q9" s="194">
        <f t="shared" si="1"/>
        <v>-267305.69811320672</v>
      </c>
      <c r="R9" s="194">
        <f t="shared" si="2"/>
        <v>-267305.69811320672</v>
      </c>
      <c r="S9" s="195">
        <f t="shared" si="3"/>
        <v>-2.0393641449200344E-2</v>
      </c>
      <c r="T9" s="187"/>
      <c r="U9" s="187" t="s">
        <v>3</v>
      </c>
    </row>
    <row r="10" spans="1:21" hidden="1" x14ac:dyDescent="0.25">
      <c r="A10" s="187" t="s">
        <v>211</v>
      </c>
      <c r="B10" s="187" t="s">
        <v>203</v>
      </c>
      <c r="C10" s="187" t="s">
        <v>210</v>
      </c>
      <c r="D10" s="187" t="s">
        <v>210</v>
      </c>
      <c r="E10" s="188" t="s">
        <v>70</v>
      </c>
      <c r="F10" s="187" t="s">
        <v>80</v>
      </c>
      <c r="G10" s="189">
        <v>18994500</v>
      </c>
      <c r="H10" s="189">
        <v>18994500</v>
      </c>
      <c r="I10" s="190">
        <v>0</v>
      </c>
      <c r="J10" s="192">
        <f t="shared" si="5"/>
        <v>0</v>
      </c>
      <c r="K10" s="189">
        <v>0</v>
      </c>
      <c r="L10" s="189"/>
      <c r="M10" s="192">
        <f t="shared" si="0"/>
        <v>0</v>
      </c>
      <c r="N10" s="187" t="s">
        <v>81</v>
      </c>
      <c r="O10" s="191">
        <f>SUMIFS(客户表!Z:Z,客户表!J:J,A10,客户表!A:A,E10,客户表!N:N,F10)</f>
        <v>18711000</v>
      </c>
      <c r="P10" s="193"/>
      <c r="Q10" s="194">
        <f t="shared" si="1"/>
        <v>-267452.83018867922</v>
      </c>
      <c r="R10" s="194">
        <f t="shared" si="2"/>
        <v>-267452.83018867922</v>
      </c>
      <c r="S10" s="195">
        <f t="shared" si="3"/>
        <v>-1.429388221841052E-2</v>
      </c>
      <c r="T10" s="187"/>
      <c r="U10" s="187" t="s">
        <v>3</v>
      </c>
    </row>
    <row r="11" spans="1:21" hidden="1" x14ac:dyDescent="0.25">
      <c r="A11" s="187" t="s">
        <v>220</v>
      </c>
      <c r="B11" s="187" t="s">
        <v>203</v>
      </c>
      <c r="C11" s="187" t="s">
        <v>219</v>
      </c>
      <c r="D11" s="187" t="s">
        <v>323</v>
      </c>
      <c r="E11" s="188" t="s">
        <v>70</v>
      </c>
      <c r="F11" s="187" t="s">
        <v>80</v>
      </c>
      <c r="G11" s="189">
        <v>-135.80000000000001</v>
      </c>
      <c r="H11" s="189">
        <v>-135.80000000000001</v>
      </c>
      <c r="I11" s="190">
        <v>0</v>
      </c>
      <c r="J11" s="192"/>
      <c r="K11" s="189"/>
      <c r="L11" s="189"/>
      <c r="M11" s="192"/>
      <c r="N11" s="187" t="s">
        <v>81</v>
      </c>
      <c r="O11" s="191">
        <f>SUMIFS(客户表!Z:Z,客户表!J:J,A11,客户表!A:A,E11,客户表!N:N,F11)</f>
        <v>-135.79803921568964</v>
      </c>
      <c r="P11" s="193"/>
      <c r="Q11" s="194">
        <f t="shared" si="1"/>
        <v>1.8497965192169293E-3</v>
      </c>
      <c r="R11" s="194">
        <f t="shared" si="2"/>
        <v>1.8497965192169293E-3</v>
      </c>
      <c r="S11" s="195">
        <f t="shared" si="3"/>
        <v>-1.3621673257585667E-5</v>
      </c>
      <c r="T11" s="187"/>
      <c r="U11" s="187" t="s">
        <v>3</v>
      </c>
    </row>
    <row r="12" spans="1:21" hidden="1" x14ac:dyDescent="0.25">
      <c r="A12" s="187" t="s">
        <v>224</v>
      </c>
      <c r="B12" s="187" t="s">
        <v>203</v>
      </c>
      <c r="C12" s="187" t="s">
        <v>223</v>
      </c>
      <c r="D12" s="187" t="s">
        <v>76</v>
      </c>
      <c r="E12" s="188" t="s">
        <v>70</v>
      </c>
      <c r="F12" s="187" t="s">
        <v>80</v>
      </c>
      <c r="G12" s="189">
        <v>247.43269230769201</v>
      </c>
      <c r="H12" s="189">
        <v>247.43269230769201</v>
      </c>
      <c r="I12" s="190">
        <v>0</v>
      </c>
      <c r="J12" s="192"/>
      <c r="K12" s="189"/>
      <c r="L12" s="189"/>
      <c r="M12" s="192"/>
      <c r="N12" s="187" t="s">
        <v>81</v>
      </c>
      <c r="O12" s="191">
        <f>SUMIFS(客户表!Z:Z,客户表!J:J,A12,客户表!A:A,E12,客户表!N:N,F12)</f>
        <v>247.43269230769201</v>
      </c>
      <c r="P12" s="193"/>
      <c r="Q12" s="194">
        <f t="shared" si="1"/>
        <v>0</v>
      </c>
      <c r="R12" s="194">
        <f t="shared" si="2"/>
        <v>0</v>
      </c>
      <c r="S12" s="195">
        <f t="shared" si="3"/>
        <v>0</v>
      </c>
      <c r="T12" s="187" t="s">
        <v>222</v>
      </c>
      <c r="U12" s="187" t="s">
        <v>3</v>
      </c>
    </row>
    <row r="13" spans="1:21" hidden="1" x14ac:dyDescent="0.25">
      <c r="A13" s="187" t="s">
        <v>230</v>
      </c>
      <c r="B13" s="187" t="s">
        <v>203</v>
      </c>
      <c r="C13" s="187" t="s">
        <v>229</v>
      </c>
      <c r="D13" s="187" t="s">
        <v>76</v>
      </c>
      <c r="E13" s="188" t="s">
        <v>70</v>
      </c>
      <c r="F13" s="187" t="s">
        <v>80</v>
      </c>
      <c r="G13" s="189">
        <v>5351065.79366</v>
      </c>
      <c r="H13" s="189">
        <v>5351065.79366</v>
      </c>
      <c r="I13" s="190">
        <v>0</v>
      </c>
      <c r="J13" s="192"/>
      <c r="K13" s="189"/>
      <c r="L13" s="189"/>
      <c r="M13" s="192"/>
      <c r="N13" s="187" t="s">
        <v>81</v>
      </c>
      <c r="O13" s="191">
        <f>SUMIFS(客户表!Z:Z,客户表!J:J,A13,客户表!A:A,E13,客户表!N:N,F13)</f>
        <v>5351065.79366</v>
      </c>
      <c r="P13" s="193"/>
      <c r="Q13" s="194">
        <f t="shared" si="1"/>
        <v>0</v>
      </c>
      <c r="R13" s="194">
        <f t="shared" si="2"/>
        <v>0</v>
      </c>
      <c r="S13" s="195">
        <f t="shared" si="3"/>
        <v>0</v>
      </c>
      <c r="T13" s="187" t="s">
        <v>222</v>
      </c>
      <c r="U13" s="187" t="s">
        <v>7</v>
      </c>
    </row>
    <row r="14" spans="1:21" hidden="1" x14ac:dyDescent="0.25">
      <c r="A14" s="187" t="s">
        <v>235</v>
      </c>
      <c r="B14" s="187" t="s">
        <v>203</v>
      </c>
      <c r="C14" s="187" t="s">
        <v>234</v>
      </c>
      <c r="D14" s="187" t="s">
        <v>323</v>
      </c>
      <c r="E14" s="188" t="s">
        <v>70</v>
      </c>
      <c r="F14" s="187" t="s">
        <v>86</v>
      </c>
      <c r="G14" s="189">
        <v>147092.698113208</v>
      </c>
      <c r="H14" s="189">
        <v>147092.698113208</v>
      </c>
      <c r="I14" s="190">
        <v>0</v>
      </c>
      <c r="J14" s="192"/>
      <c r="K14" s="189"/>
      <c r="L14" s="189"/>
      <c r="M14" s="192"/>
      <c r="N14" s="187" t="s">
        <v>81</v>
      </c>
      <c r="O14" s="191">
        <f>SUMIFS(客户表!Z:Z,客户表!J:J,A14,客户表!A:A,E14,客户表!N:N,F14)</f>
        <v>156308.698113208</v>
      </c>
      <c r="P14" s="193"/>
      <c r="Q14" s="194">
        <f t="shared" si="1"/>
        <v>8694.3396226415098</v>
      </c>
      <c r="R14" s="194">
        <f t="shared" si="2"/>
        <v>8694.3396226415098</v>
      </c>
      <c r="S14" s="195">
        <f t="shared" si="3"/>
        <v>5.5622877853825865E-2</v>
      </c>
      <c r="T14" s="187" t="s">
        <v>222</v>
      </c>
      <c r="U14" s="187" t="s">
        <v>3</v>
      </c>
    </row>
    <row r="15" spans="1:21" x14ac:dyDescent="0.25">
      <c r="A15" s="196" t="s">
        <v>79</v>
      </c>
      <c r="B15" s="196" t="s">
        <v>78</v>
      </c>
      <c r="C15" s="196" t="s">
        <v>77</v>
      </c>
      <c r="D15" s="196" t="s">
        <v>320</v>
      </c>
      <c r="E15" s="188" t="s">
        <v>236</v>
      </c>
      <c r="F15" s="196" t="s">
        <v>86</v>
      </c>
      <c r="G15" s="189">
        <f>951771.91-2222.78999999999</f>
        <v>949549.12</v>
      </c>
      <c r="H15" s="189">
        <f>951771.91-2222.78999999999</f>
        <v>949549.12</v>
      </c>
      <c r="I15" s="190">
        <f t="shared" ref="I15:I16" si="6">J15/H15</f>
        <v>8.375628367516838E-2</v>
      </c>
      <c r="J15" s="189">
        <v>79530.705458226497</v>
      </c>
      <c r="K15" s="189"/>
      <c r="L15" s="189"/>
      <c r="M15" s="197">
        <f>J15-K15</f>
        <v>79530.705458226497</v>
      </c>
      <c r="N15" s="196" t="s">
        <v>87</v>
      </c>
      <c r="O15" s="191">
        <f>SUMIFS(客户表!Z:Z,客户表!J:J,A15,客户表!A:A,E15,客户表!N:N,F15)</f>
        <v>1367254.3277000031</v>
      </c>
      <c r="P15" s="198">
        <v>8636.66</v>
      </c>
      <c r="Q15" s="194">
        <f t="shared" si="1"/>
        <v>469090.48411153728</v>
      </c>
      <c r="R15" s="194">
        <f t="shared" si="2"/>
        <v>460942.6916587071</v>
      </c>
      <c r="S15" s="195">
        <f t="shared" si="3"/>
        <v>0.33713017565218134</v>
      </c>
      <c r="T15" s="196"/>
      <c r="U15" s="187" t="s">
        <v>3</v>
      </c>
    </row>
    <row r="16" spans="1:21" hidden="1" x14ac:dyDescent="0.25">
      <c r="A16" s="196" t="s">
        <v>79</v>
      </c>
      <c r="B16" s="196" t="s">
        <v>78</v>
      </c>
      <c r="C16" s="196" t="s">
        <v>77</v>
      </c>
      <c r="D16" s="196" t="s">
        <v>320</v>
      </c>
      <c r="E16" s="188" t="s">
        <v>236</v>
      </c>
      <c r="F16" s="196" t="s">
        <v>80</v>
      </c>
      <c r="G16" s="189">
        <v>7458.79</v>
      </c>
      <c r="H16" s="189">
        <v>7458.79</v>
      </c>
      <c r="I16" s="190">
        <f t="shared" si="6"/>
        <v>8.3756283675168353E-2</v>
      </c>
      <c r="J16" s="189">
        <v>624.72053111350897</v>
      </c>
      <c r="K16" s="189"/>
      <c r="L16" s="189"/>
      <c r="M16" s="197">
        <f t="shared" ref="M16:M24" si="7">J16-K16</f>
        <v>624.72053111350897</v>
      </c>
      <c r="N16" s="196" t="s">
        <v>87</v>
      </c>
      <c r="O16" s="191">
        <f>SUMIFS(客户表!Z:Z,客户表!J:J,A16,客户表!A:A,E16,客户表!N:N,F16)</f>
        <v>7458.79</v>
      </c>
      <c r="P16" s="198"/>
      <c r="Q16" s="194">
        <f t="shared" si="1"/>
        <v>589.35899161651787</v>
      </c>
      <c r="R16" s="194">
        <f t="shared" si="2"/>
        <v>589.35899161651787</v>
      </c>
      <c r="S16" s="195">
        <f t="shared" si="3"/>
        <v>7.901536195770599E-2</v>
      </c>
      <c r="T16" s="196"/>
      <c r="U16" s="187" t="s">
        <v>3</v>
      </c>
    </row>
    <row r="17" spans="1:21" hidden="1" x14ac:dyDescent="0.25">
      <c r="A17" s="196" t="s">
        <v>204</v>
      </c>
      <c r="B17" s="187" t="s">
        <v>203</v>
      </c>
      <c r="C17" s="196" t="s">
        <v>202</v>
      </c>
      <c r="D17" s="196" t="s">
        <v>322</v>
      </c>
      <c r="E17" s="188" t="s">
        <v>236</v>
      </c>
      <c r="F17" s="196" t="s">
        <v>86</v>
      </c>
      <c r="G17" s="191">
        <v>117568.2</v>
      </c>
      <c r="H17" s="191">
        <v>117568.2</v>
      </c>
      <c r="I17" s="190">
        <v>0</v>
      </c>
      <c r="J17" s="199">
        <f t="shared" ref="J17" si="8">H17*I17</f>
        <v>0</v>
      </c>
      <c r="K17" s="199">
        <v>0</v>
      </c>
      <c r="L17" s="199"/>
      <c r="M17" s="197">
        <f t="shared" si="7"/>
        <v>0</v>
      </c>
      <c r="N17" s="196" t="s">
        <v>81</v>
      </c>
      <c r="O17" s="191">
        <f>SUMIFS(客户表!Z:Z,客户表!J:J,A17,客户表!A:A,E17,客户表!N:N,F17)</f>
        <v>0</v>
      </c>
      <c r="P17" s="198"/>
      <c r="Q17" s="194">
        <f t="shared" si="1"/>
        <v>-110913.39622641509</v>
      </c>
      <c r="R17" s="194">
        <f t="shared" si="2"/>
        <v>-110913.39622641509</v>
      </c>
      <c r="S17" s="195" t="str">
        <f t="shared" si="3"/>
        <v>-</v>
      </c>
      <c r="T17" s="196"/>
      <c r="U17" s="187" t="s">
        <v>3</v>
      </c>
    </row>
    <row r="18" spans="1:21" hidden="1" x14ac:dyDescent="0.25">
      <c r="A18" s="196" t="s">
        <v>79</v>
      </c>
      <c r="B18" s="196" t="s">
        <v>78</v>
      </c>
      <c r="C18" s="196" t="s">
        <v>77</v>
      </c>
      <c r="D18" s="196" t="s">
        <v>320</v>
      </c>
      <c r="E18" s="188" t="s">
        <v>236</v>
      </c>
      <c r="F18" s="196" t="s">
        <v>201</v>
      </c>
      <c r="G18" s="191">
        <v>4881660</v>
      </c>
      <c r="H18" s="191">
        <v>4881660</v>
      </c>
      <c r="I18" s="190">
        <f>J18/H18</f>
        <v>8.3756283675168491E-2</v>
      </c>
      <c r="J18" s="189">
        <v>408869.69976572302</v>
      </c>
      <c r="K18" s="199">
        <v>0</v>
      </c>
      <c r="L18" s="199"/>
      <c r="M18" s="197">
        <f t="shared" si="7"/>
        <v>408869.69976572302</v>
      </c>
      <c r="N18" s="196" t="s">
        <v>324</v>
      </c>
      <c r="O18" s="191">
        <f>SUMIFS(客户表!Z:Z,客户表!J:J,A18,客户表!A:A,E18,客户表!N:N,F18)</f>
        <v>8310399.3200000003</v>
      </c>
      <c r="P18" s="198"/>
      <c r="Q18" s="194">
        <f t="shared" si="1"/>
        <v>3620385.8677035128</v>
      </c>
      <c r="R18" s="194">
        <f t="shared" si="2"/>
        <v>3620385.8677035128</v>
      </c>
      <c r="S18" s="195">
        <f t="shared" si="3"/>
        <v>0.43564523536078559</v>
      </c>
      <c r="T18" s="196"/>
      <c r="U18" s="187" t="s">
        <v>3</v>
      </c>
    </row>
    <row r="19" spans="1:21" hidden="1" x14ac:dyDescent="0.25">
      <c r="A19" s="187" t="s">
        <v>211</v>
      </c>
      <c r="B19" s="196" t="s">
        <v>203</v>
      </c>
      <c r="C19" s="196" t="s">
        <v>210</v>
      </c>
      <c r="D19" s="196" t="s">
        <v>210</v>
      </c>
      <c r="E19" s="188" t="s">
        <v>236</v>
      </c>
      <c r="F19" s="196" t="s">
        <v>212</v>
      </c>
      <c r="G19" s="191">
        <v>3015000</v>
      </c>
      <c r="H19" s="191">
        <v>3015000</v>
      </c>
      <c r="I19" s="190">
        <v>0</v>
      </c>
      <c r="J19" s="199">
        <f t="shared" ref="J19:J21" si="9">H19*I19</f>
        <v>0</v>
      </c>
      <c r="K19" s="199">
        <v>0</v>
      </c>
      <c r="L19" s="199"/>
      <c r="M19" s="197">
        <f t="shared" si="7"/>
        <v>0</v>
      </c>
      <c r="N19" s="196" t="s">
        <v>81</v>
      </c>
      <c r="O19" s="191">
        <f>SUMIFS(客户表!Z:Z,客户表!J:J,A19,客户表!A:A,E19,客户表!N:N,F19)</f>
        <v>2940594.06</v>
      </c>
      <c r="P19" s="198"/>
      <c r="Q19" s="194">
        <f t="shared" si="1"/>
        <v>-70194.283018867864</v>
      </c>
      <c r="R19" s="194">
        <f t="shared" si="2"/>
        <v>-70194.283018867864</v>
      </c>
      <c r="S19" s="195">
        <f t="shared" si="3"/>
        <v>-2.3870783109338069E-2</v>
      </c>
      <c r="T19" s="196"/>
      <c r="U19" s="187" t="s">
        <v>3</v>
      </c>
    </row>
    <row r="20" spans="1:21" hidden="1" x14ac:dyDescent="0.25">
      <c r="A20" s="187" t="s">
        <v>211</v>
      </c>
      <c r="B20" s="196" t="s">
        <v>203</v>
      </c>
      <c r="C20" s="196" t="s">
        <v>210</v>
      </c>
      <c r="D20" s="196" t="s">
        <v>210</v>
      </c>
      <c r="E20" s="188" t="s">
        <v>236</v>
      </c>
      <c r="F20" s="196" t="s">
        <v>80</v>
      </c>
      <c r="G20" s="191">
        <v>26230500</v>
      </c>
      <c r="H20" s="191">
        <v>26230500</v>
      </c>
      <c r="I20" s="190">
        <v>0</v>
      </c>
      <c r="J20" s="199">
        <f t="shared" si="9"/>
        <v>0</v>
      </c>
      <c r="K20" s="199">
        <v>0</v>
      </c>
      <c r="L20" s="199"/>
      <c r="M20" s="197">
        <f t="shared" si="7"/>
        <v>0</v>
      </c>
      <c r="N20" s="196" t="s">
        <v>81</v>
      </c>
      <c r="O20" s="191">
        <f>SUMIFS(客户表!Z:Z,客户表!J:J,A20,客户表!A:A,E20,客户表!N:N,F20)</f>
        <v>25839000</v>
      </c>
      <c r="P20" s="198"/>
      <c r="Q20" s="194">
        <f t="shared" si="1"/>
        <v>-369339.6226415094</v>
      </c>
      <c r="R20" s="194">
        <f t="shared" si="2"/>
        <v>-369339.6226415094</v>
      </c>
      <c r="S20" s="195">
        <f t="shared" si="3"/>
        <v>-1.429388221841052E-2</v>
      </c>
      <c r="T20" s="196"/>
      <c r="U20" s="187" t="s">
        <v>3</v>
      </c>
    </row>
    <row r="21" spans="1:21" hidden="1" x14ac:dyDescent="0.25">
      <c r="A21" s="196" t="s">
        <v>235</v>
      </c>
      <c r="B21" s="196" t="s">
        <v>203</v>
      </c>
      <c r="C21" s="196" t="s">
        <v>234</v>
      </c>
      <c r="D21" s="196" t="s">
        <v>323</v>
      </c>
      <c r="E21" s="188" t="s">
        <v>236</v>
      </c>
      <c r="F21" s="196" t="s">
        <v>86</v>
      </c>
      <c r="G21" s="191">
        <v>135035.88</v>
      </c>
      <c r="H21" s="191">
        <v>135035.88</v>
      </c>
      <c r="I21" s="190">
        <v>0</v>
      </c>
      <c r="J21" s="199">
        <f t="shared" si="9"/>
        <v>0</v>
      </c>
      <c r="K21" s="199"/>
      <c r="L21" s="199"/>
      <c r="M21" s="197">
        <f t="shared" si="7"/>
        <v>0</v>
      </c>
      <c r="N21" s="196" t="s">
        <v>81</v>
      </c>
      <c r="O21" s="191">
        <f>SUMIFS(客户表!Z:Z,客户表!J:J,A21,客户表!A:A,E21,客户表!N:N,F21)</f>
        <v>144251.88</v>
      </c>
      <c r="P21" s="198"/>
      <c r="Q21" s="194">
        <f t="shared" si="1"/>
        <v>8694.3396226415098</v>
      </c>
      <c r="R21" s="194">
        <f t="shared" si="2"/>
        <v>8694.3396226415098</v>
      </c>
      <c r="S21" s="195">
        <f t="shared" si="3"/>
        <v>6.0271932834715984E-2</v>
      </c>
      <c r="T21" s="196"/>
      <c r="U21" s="187" t="s">
        <v>3</v>
      </c>
    </row>
    <row r="22" spans="1:21" x14ac:dyDescent="0.25">
      <c r="A22" s="196" t="s">
        <v>78</v>
      </c>
      <c r="B22" s="196" t="s">
        <v>78</v>
      </c>
      <c r="C22" s="196" t="s">
        <v>77</v>
      </c>
      <c r="D22" s="196" t="s">
        <v>320</v>
      </c>
      <c r="E22" s="200" t="s">
        <v>240</v>
      </c>
      <c r="F22" s="196" t="s">
        <v>86</v>
      </c>
      <c r="G22" s="189">
        <v>905557.81</v>
      </c>
      <c r="H22" s="189">
        <v>905557.81</v>
      </c>
      <c r="I22" s="190">
        <f t="shared" ref="I22:I23" si="10">J22/H22</f>
        <v>8.375628367516845E-2</v>
      </c>
      <c r="J22" s="189">
        <v>75846.156818624295</v>
      </c>
      <c r="K22" s="189"/>
      <c r="L22" s="189"/>
      <c r="M22" s="197">
        <f t="shared" si="7"/>
        <v>75846.156818624295</v>
      </c>
      <c r="N22" s="196" t="s">
        <v>87</v>
      </c>
      <c r="O22" s="191">
        <f>SUMIFS(客户表!Z:Z,客户表!J:J,A22,客户表!A:A,E22,客户表!N:N,F22)</f>
        <v>1188398.8573353887</v>
      </c>
      <c r="P22" s="198">
        <v>5613.83</v>
      </c>
      <c r="Q22" s="194">
        <f t="shared" si="1"/>
        <v>338384.15486227628</v>
      </c>
      <c r="R22" s="194">
        <f t="shared" si="2"/>
        <v>333088.08882454043</v>
      </c>
      <c r="S22" s="195">
        <f t="shared" si="3"/>
        <v>0.28028307732589536</v>
      </c>
      <c r="T22" s="196"/>
      <c r="U22" s="196" t="s">
        <v>3</v>
      </c>
    </row>
    <row r="23" spans="1:21" hidden="1" x14ac:dyDescent="0.25">
      <c r="A23" s="196" t="s">
        <v>78</v>
      </c>
      <c r="B23" s="196" t="s">
        <v>78</v>
      </c>
      <c r="C23" s="196" t="s">
        <v>77</v>
      </c>
      <c r="D23" s="196" t="s">
        <v>320</v>
      </c>
      <c r="E23" s="200" t="s">
        <v>240</v>
      </c>
      <c r="F23" s="196" t="s">
        <v>201</v>
      </c>
      <c r="G23" s="189">
        <v>4881660</v>
      </c>
      <c r="H23" s="189">
        <v>4881660</v>
      </c>
      <c r="I23" s="190">
        <f t="shared" si="10"/>
        <v>8.3756283675168491E-2</v>
      </c>
      <c r="J23" s="189">
        <v>408869.69976572302</v>
      </c>
      <c r="K23" s="189">
        <v>4329736.05</v>
      </c>
      <c r="L23" s="189">
        <v>4329736.05</v>
      </c>
      <c r="M23" s="197">
        <f t="shared" si="7"/>
        <v>-3920866.3502342766</v>
      </c>
      <c r="N23" s="196" t="s">
        <v>321</v>
      </c>
      <c r="O23" s="191">
        <f>SUMIFS(客户表!Z:Z,客户表!J:J,A23,客户表!A:A,E23,客户表!N:N,F23)</f>
        <v>8310399.3200000003</v>
      </c>
      <c r="P23" s="198"/>
      <c r="Q23" s="194">
        <f t="shared" si="1"/>
        <v>3620385.8677035128</v>
      </c>
      <c r="R23" s="194">
        <f t="shared" si="2"/>
        <v>3620385.8677035128</v>
      </c>
      <c r="S23" s="195">
        <f t="shared" si="3"/>
        <v>0.43564523536078559</v>
      </c>
      <c r="T23" s="196" t="s">
        <v>325</v>
      </c>
      <c r="U23" s="196" t="s">
        <v>3</v>
      </c>
    </row>
    <row r="24" spans="1:21" hidden="1" x14ac:dyDescent="0.25">
      <c r="A24" s="196" t="s">
        <v>244</v>
      </c>
      <c r="B24" s="196" t="s">
        <v>203</v>
      </c>
      <c r="C24" s="196" t="s">
        <v>322</v>
      </c>
      <c r="D24" s="196" t="s">
        <v>322</v>
      </c>
      <c r="E24" s="200" t="s">
        <v>240</v>
      </c>
      <c r="F24" s="196" t="s">
        <v>86</v>
      </c>
      <c r="G24" s="189">
        <v>84189.440000000002</v>
      </c>
      <c r="H24" s="189">
        <v>84189.440000000002</v>
      </c>
      <c r="I24" s="190">
        <v>0</v>
      </c>
      <c r="J24" s="197">
        <f>H24*I24</f>
        <v>0</v>
      </c>
      <c r="K24" s="189">
        <v>0</v>
      </c>
      <c r="L24" s="189"/>
      <c r="M24" s="197">
        <f t="shared" si="7"/>
        <v>0</v>
      </c>
      <c r="N24" s="196" t="s">
        <v>81</v>
      </c>
      <c r="O24" s="191">
        <f>SUMIFS(客户表!Z:Z,客户表!J:J,A24,客户表!A:A,E24,客户表!N:N,F24)</f>
        <v>0</v>
      </c>
      <c r="P24" s="198"/>
      <c r="Q24" s="194">
        <f t="shared" si="1"/>
        <v>-79424</v>
      </c>
      <c r="R24" s="194">
        <f t="shared" si="2"/>
        <v>-79424</v>
      </c>
      <c r="S24" s="195" t="str">
        <f t="shared" si="3"/>
        <v>-</v>
      </c>
      <c r="T24" s="196"/>
      <c r="U24" s="196" t="s">
        <v>3</v>
      </c>
    </row>
    <row r="25" spans="1:21" hidden="1" x14ac:dyDescent="0.25">
      <c r="A25" s="196" t="s">
        <v>245</v>
      </c>
      <c r="B25" s="196" t="s">
        <v>203</v>
      </c>
      <c r="C25" s="196" t="s">
        <v>234</v>
      </c>
      <c r="D25" s="196" t="s">
        <v>323</v>
      </c>
      <c r="E25" s="200" t="s">
        <v>240</v>
      </c>
      <c r="F25" s="196" t="s">
        <v>86</v>
      </c>
      <c r="G25" s="189">
        <v>94655.21</v>
      </c>
      <c r="H25" s="189">
        <v>94655.21</v>
      </c>
      <c r="I25" s="190">
        <v>0</v>
      </c>
      <c r="J25" s="197"/>
      <c r="K25" s="189"/>
      <c r="L25" s="189"/>
      <c r="M25" s="197"/>
      <c r="N25" s="196" t="s">
        <v>81</v>
      </c>
      <c r="O25" s="191">
        <f>SUMIFS(客户表!Z:Z,客户表!J:J,A25,客户表!A:A,E25,客户表!N:N,F25)</f>
        <v>101567.21</v>
      </c>
      <c r="P25" s="198"/>
      <c r="Q25" s="194">
        <f t="shared" si="1"/>
        <v>6520.7547169811314</v>
      </c>
      <c r="R25" s="194">
        <f t="shared" si="2"/>
        <v>6520.7547169811314</v>
      </c>
      <c r="S25" s="195">
        <f t="shared" si="3"/>
        <v>6.4201376772888924E-2</v>
      </c>
      <c r="T25" s="196"/>
      <c r="U25" s="196" t="s">
        <v>3</v>
      </c>
    </row>
    <row r="26" spans="1:21" x14ac:dyDescent="0.25">
      <c r="A26" s="196" t="s">
        <v>78</v>
      </c>
      <c r="B26" s="196" t="s">
        <v>78</v>
      </c>
      <c r="C26" s="196" t="s">
        <v>77</v>
      </c>
      <c r="D26" s="196" t="s">
        <v>320</v>
      </c>
      <c r="E26" s="200" t="s">
        <v>246</v>
      </c>
      <c r="F26" s="196" t="s">
        <v>86</v>
      </c>
      <c r="G26" s="201">
        <f>1178509.08-88990.55-5027.09</f>
        <v>1084491.44</v>
      </c>
      <c r="H26" s="189">
        <v>1178509.08</v>
      </c>
      <c r="I26" s="202">
        <f>J26/H26</f>
        <v>6.6126439784298996E-2</v>
      </c>
      <c r="J26" s="197">
        <v>77930.609713869606</v>
      </c>
      <c r="K26" s="189"/>
      <c r="L26" s="189"/>
      <c r="M26" s="197">
        <f>J26-K26</f>
        <v>77930.609713869606</v>
      </c>
      <c r="N26" s="196" t="s">
        <v>87</v>
      </c>
      <c r="O26" s="191">
        <f>SUMIFS(客户表!Z:Z,客户表!J:J,A26,客户表!A:A,E26,客户表!N:N,F26)</f>
        <v>2065881.3592963903</v>
      </c>
      <c r="P26" s="198"/>
      <c r="Q26" s="194">
        <f t="shared" si="1"/>
        <v>999358.98963232071</v>
      </c>
      <c r="R26" s="194">
        <f t="shared" si="2"/>
        <v>999358.98963232071</v>
      </c>
      <c r="S26" s="195">
        <f t="shared" si="3"/>
        <v>0.48374461831278059</v>
      </c>
      <c r="T26" s="197"/>
      <c r="U26" s="196" t="s">
        <v>3</v>
      </c>
    </row>
    <row r="27" spans="1:21" hidden="1" x14ac:dyDescent="0.25">
      <c r="A27" s="196" t="s">
        <v>78</v>
      </c>
      <c r="B27" s="196" t="s">
        <v>78</v>
      </c>
      <c r="C27" s="196" t="s">
        <v>77</v>
      </c>
      <c r="D27" s="196" t="s">
        <v>320</v>
      </c>
      <c r="E27" s="200" t="s">
        <v>246</v>
      </c>
      <c r="F27" s="196" t="s">
        <v>126</v>
      </c>
      <c r="G27" s="201">
        <f>1052976.15+34831.26</f>
        <v>1087807.4099999999</v>
      </c>
      <c r="H27" s="189">
        <v>1052976.1499999999</v>
      </c>
      <c r="I27" s="202">
        <f>J27/H27</f>
        <v>6.6343399561373445E-2</v>
      </c>
      <c r="J27" s="197">
        <v>69858.017448046696</v>
      </c>
      <c r="K27" s="189"/>
      <c r="L27" s="189"/>
      <c r="M27" s="197">
        <f>J27-K27</f>
        <v>69858.017448046696</v>
      </c>
      <c r="N27" s="196" t="s">
        <v>87</v>
      </c>
      <c r="O27" s="191">
        <f>SUMIFS(客户表!Z:Z,客户表!J:J,A27,客户表!A:A,E27,客户表!N:N,F27)</f>
        <v>1260000.0001226277</v>
      </c>
      <c r="P27" s="198"/>
      <c r="Q27" s="194">
        <f t="shared" si="1"/>
        <v>228349.62978365517</v>
      </c>
      <c r="R27" s="194">
        <f t="shared" si="2"/>
        <v>228349.62978365517</v>
      </c>
      <c r="S27" s="195">
        <f t="shared" si="3"/>
        <v>0.18122986489002491</v>
      </c>
      <c r="T27" s="197"/>
      <c r="U27" s="196" t="s">
        <v>3</v>
      </c>
    </row>
    <row r="28" spans="1:21" hidden="1" x14ac:dyDescent="0.25">
      <c r="A28" s="196" t="s">
        <v>78</v>
      </c>
      <c r="B28" s="196" t="s">
        <v>78</v>
      </c>
      <c r="C28" s="196" t="s">
        <v>77</v>
      </c>
      <c r="D28" s="196" t="s">
        <v>320</v>
      </c>
      <c r="E28" s="200" t="s">
        <v>246</v>
      </c>
      <c r="F28" s="196" t="s">
        <v>201</v>
      </c>
      <c r="G28" s="191">
        <f>5259250-1554500+24590.1</f>
        <v>3729340.1</v>
      </c>
      <c r="H28" s="191">
        <f>5259250-1554500+24590.1</f>
        <v>3729340.1</v>
      </c>
      <c r="I28" s="202">
        <f>J28/H28</f>
        <v>6.6126439784298829E-2</v>
      </c>
      <c r="J28" s="197">
        <v>246607.98355782099</v>
      </c>
      <c r="K28" s="199">
        <v>0</v>
      </c>
      <c r="L28" s="199"/>
      <c r="M28" s="199">
        <f>J28-K28</f>
        <v>246607.98355782099</v>
      </c>
      <c r="N28" s="196" t="s">
        <v>321</v>
      </c>
      <c r="O28" s="191">
        <f>SUMIFS(客户表!Z:Z,客户表!J:J,A28,客户表!A:A,E28,客户表!N:N,F28)</f>
        <v>6819277.0066300761</v>
      </c>
      <c r="P28" s="198"/>
      <c r="Q28" s="194">
        <f t="shared" si="1"/>
        <v>3147683.8586678272</v>
      </c>
      <c r="R28" s="194">
        <f t="shared" si="2"/>
        <v>3147683.8586678272</v>
      </c>
      <c r="S28" s="195">
        <f t="shared" si="3"/>
        <v>0.46158615577684786</v>
      </c>
      <c r="T28" s="199"/>
      <c r="U28" s="196" t="s">
        <v>3</v>
      </c>
    </row>
    <row r="29" spans="1:21" hidden="1" x14ac:dyDescent="0.25">
      <c r="A29" s="196" t="s">
        <v>244</v>
      </c>
      <c r="B29" s="196" t="s">
        <v>203</v>
      </c>
      <c r="C29" s="196" t="s">
        <v>322</v>
      </c>
      <c r="D29" s="196" t="s">
        <v>322</v>
      </c>
      <c r="E29" s="200" t="s">
        <v>246</v>
      </c>
      <c r="F29" s="196" t="s">
        <v>86</v>
      </c>
      <c r="G29" s="191">
        <v>69578.080000000002</v>
      </c>
      <c r="H29" s="191">
        <v>69578.080000000002</v>
      </c>
      <c r="I29" s="203">
        <v>0</v>
      </c>
      <c r="J29" s="197">
        <f>H29*I29</f>
        <v>0</v>
      </c>
      <c r="K29" s="199">
        <v>0</v>
      </c>
      <c r="L29" s="199"/>
      <c r="M29" s="199">
        <f>J29-K29</f>
        <v>0</v>
      </c>
      <c r="N29" s="196" t="s">
        <v>81</v>
      </c>
      <c r="O29" s="191">
        <f>SUMIFS(客户表!Z:Z,客户表!J:J,A29,客户表!A:A,E29,客户表!N:N,F29)</f>
        <v>0</v>
      </c>
      <c r="P29" s="198"/>
      <c r="Q29" s="194">
        <f t="shared" si="1"/>
        <v>-65639.698113207545</v>
      </c>
      <c r="R29" s="194">
        <f t="shared" si="2"/>
        <v>-65639.698113207545</v>
      </c>
      <c r="S29" s="195" t="str">
        <f t="shared" si="3"/>
        <v>-</v>
      </c>
      <c r="T29" s="199"/>
      <c r="U29" s="196" t="s">
        <v>3</v>
      </c>
    </row>
    <row r="30" spans="1:21" hidden="1" x14ac:dyDescent="0.25">
      <c r="A30" s="196" t="s">
        <v>256</v>
      </c>
      <c r="B30" s="196" t="s">
        <v>203</v>
      </c>
      <c r="C30" s="196" t="s">
        <v>255</v>
      </c>
      <c r="D30" s="196" t="s">
        <v>323</v>
      </c>
      <c r="E30" s="200" t="s">
        <v>246</v>
      </c>
      <c r="F30" s="196" t="s">
        <v>86</v>
      </c>
      <c r="G30" s="191">
        <v>85.922413793103402</v>
      </c>
      <c r="H30" s="191">
        <v>85.922413793103402</v>
      </c>
      <c r="I30" s="203">
        <v>0</v>
      </c>
      <c r="J30" s="197"/>
      <c r="K30" s="196"/>
      <c r="L30" s="196"/>
      <c r="M30" s="196"/>
      <c r="N30" s="196" t="s">
        <v>81</v>
      </c>
      <c r="O30" s="191">
        <f>SUMIFS(客户表!Z:Z,客户表!J:J,A30,客户表!A:A,E30,客户表!N:N,F30)</f>
        <v>85.922413793103402</v>
      </c>
      <c r="P30" s="198"/>
      <c r="Q30" s="194">
        <f t="shared" si="1"/>
        <v>0</v>
      </c>
      <c r="R30" s="194">
        <f t="shared" si="2"/>
        <v>0</v>
      </c>
      <c r="S30" s="195">
        <f t="shared" si="3"/>
        <v>0</v>
      </c>
      <c r="T30" s="196"/>
      <c r="U30" s="196" t="s">
        <v>3</v>
      </c>
    </row>
    <row r="31" spans="1:21" x14ac:dyDescent="0.25">
      <c r="A31" s="196" t="s">
        <v>78</v>
      </c>
      <c r="B31" s="196" t="s">
        <v>78</v>
      </c>
      <c r="C31" s="196" t="s">
        <v>77</v>
      </c>
      <c r="D31" s="196" t="s">
        <v>320</v>
      </c>
      <c r="E31" s="200" t="s">
        <v>259</v>
      </c>
      <c r="F31" s="196" t="s">
        <v>86</v>
      </c>
      <c r="G31" s="204">
        <f>2252396.65-1370475.8832+5022.9+1481214.72</f>
        <v>2368158.3868</v>
      </c>
      <c r="H31" s="189">
        <f>2252396.65</f>
        <v>2252396.65</v>
      </c>
      <c r="I31" s="202">
        <f>J31/H31</f>
        <v>6.6126439784299093E-2</v>
      </c>
      <c r="J31" s="197">
        <v>148942.971446582</v>
      </c>
      <c r="K31" s="189"/>
      <c r="L31" s="189"/>
      <c r="M31" s="197">
        <f>J31-K31</f>
        <v>148942.971446582</v>
      </c>
      <c r="N31" s="196" t="s">
        <v>87</v>
      </c>
      <c r="O31" s="191">
        <f>SUMIFS(客户表!Z:Z,客户表!J:J,A31,客户表!A:A,E31,客户表!N:N,F31)</f>
        <v>4041160.018394547</v>
      </c>
      <c r="P31" s="198"/>
      <c r="Q31" s="194">
        <f t="shared" si="1"/>
        <v>1718815.6632463483</v>
      </c>
      <c r="R31" s="194">
        <f t="shared" si="2"/>
        <v>1718815.6632463483</v>
      </c>
      <c r="S31" s="195">
        <f t="shared" si="3"/>
        <v>0.42532729598002683</v>
      </c>
      <c r="T31" s="196"/>
      <c r="U31" s="196" t="s">
        <v>3</v>
      </c>
    </row>
    <row r="32" spans="1:21" hidden="1" x14ac:dyDescent="0.25">
      <c r="A32" s="196" t="s">
        <v>78</v>
      </c>
      <c r="B32" s="196" t="s">
        <v>78</v>
      </c>
      <c r="C32" s="196" t="s">
        <v>77</v>
      </c>
      <c r="D32" s="196" t="s">
        <v>320</v>
      </c>
      <c r="E32" s="200" t="s">
        <v>259</v>
      </c>
      <c r="F32" s="196" t="s">
        <v>126</v>
      </c>
      <c r="G32" s="204">
        <f>289988.47-18697.74</f>
        <v>271290.73</v>
      </c>
      <c r="H32" s="189">
        <f>289988.47</f>
        <v>289988.46999999997</v>
      </c>
      <c r="I32" s="202">
        <f>J32/H32</f>
        <v>6.6343399561373598E-2</v>
      </c>
      <c r="J32" s="197">
        <v>19238.820933401399</v>
      </c>
      <c r="K32" s="189"/>
      <c r="L32" s="189"/>
      <c r="M32" s="197">
        <f>J32-K32</f>
        <v>19238.820933401399</v>
      </c>
      <c r="N32" s="196" t="s">
        <v>87</v>
      </c>
      <c r="O32" s="191">
        <f>SUMIFS(客户表!Z:Z,客户表!J:J,A32,客户表!A:A,E32,客户表!N:N,F32)</f>
        <v>1671788.522875</v>
      </c>
      <c r="P32" s="198"/>
      <c r="Q32" s="194">
        <f t="shared" si="1"/>
        <v>1339374.1639701899</v>
      </c>
      <c r="R32" s="194">
        <f t="shared" si="2"/>
        <v>1339374.1639701899</v>
      </c>
      <c r="S32" s="195">
        <f t="shared" si="3"/>
        <v>0.80116243510683272</v>
      </c>
      <c r="T32" s="196"/>
      <c r="U32" s="196" t="s">
        <v>3</v>
      </c>
    </row>
    <row r="33" spans="1:21" hidden="1" x14ac:dyDescent="0.25">
      <c r="A33" s="196" t="s">
        <v>265</v>
      </c>
      <c r="B33" s="196" t="s">
        <v>203</v>
      </c>
      <c r="C33" s="196" t="s">
        <v>210</v>
      </c>
      <c r="D33" s="196" t="s">
        <v>210</v>
      </c>
      <c r="E33" s="200" t="s">
        <v>259</v>
      </c>
      <c r="F33" s="196" t="s">
        <v>212</v>
      </c>
      <c r="G33" s="204">
        <v>15060000</v>
      </c>
      <c r="H33" s="189">
        <v>15060000</v>
      </c>
      <c r="I33" s="190">
        <v>0</v>
      </c>
      <c r="J33" s="197">
        <f>H33*I33</f>
        <v>0</v>
      </c>
      <c r="K33" s="189"/>
      <c r="L33" s="189"/>
      <c r="M33" s="197"/>
      <c r="N33" s="196" t="s">
        <v>81</v>
      </c>
      <c r="O33" s="191">
        <f>SUMIFS(客户表!Z:Z,客户表!J:J,A33,客户表!A:A,E33,客户表!N:N,F33)</f>
        <v>14909400</v>
      </c>
      <c r="P33" s="198"/>
      <c r="Q33" s="194">
        <f t="shared" si="1"/>
        <v>-142075.47169811319</v>
      </c>
      <c r="R33" s="194">
        <f t="shared" si="2"/>
        <v>-142075.47169811319</v>
      </c>
      <c r="S33" s="195">
        <f t="shared" si="3"/>
        <v>-9.5292548122736798E-3</v>
      </c>
      <c r="T33" s="196"/>
      <c r="U33" s="196" t="s">
        <v>3</v>
      </c>
    </row>
    <row r="34" spans="1:21" hidden="1" x14ac:dyDescent="0.25">
      <c r="A34" s="196" t="s">
        <v>78</v>
      </c>
      <c r="B34" s="196" t="s">
        <v>78</v>
      </c>
      <c r="C34" s="196" t="s">
        <v>326</v>
      </c>
      <c r="D34" s="196" t="s">
        <v>326</v>
      </c>
      <c r="E34" s="200" t="s">
        <v>259</v>
      </c>
      <c r="F34" s="196" t="s">
        <v>201</v>
      </c>
      <c r="G34" s="204">
        <f>3800150+25409.77</f>
        <v>3825559.77</v>
      </c>
      <c r="H34" s="204">
        <f>3800150+25409.77</f>
        <v>3825559.77</v>
      </c>
      <c r="I34" s="202">
        <f>J34/H34</f>
        <v>6.6126439784299065E-2</v>
      </c>
      <c r="J34" s="197">
        <v>252970.64777214199</v>
      </c>
      <c r="K34" s="189">
        <v>0</v>
      </c>
      <c r="L34" s="189"/>
      <c r="M34" s="197">
        <f>J34-K34</f>
        <v>252970.64777214199</v>
      </c>
      <c r="N34" s="196" t="s">
        <v>321</v>
      </c>
      <c r="O34" s="191">
        <f>SUMIFS(客户表!Z:Z,客户表!J:J,A34,客户表!A:A,E34,客户表!N:N,F34)</f>
        <v>6915490.5140034044</v>
      </c>
      <c r="P34" s="198"/>
      <c r="Q34" s="194">
        <f t="shared" si="1"/>
        <v>3153680.5582788172</v>
      </c>
      <c r="R34" s="194">
        <f t="shared" si="2"/>
        <v>3153680.5582788172</v>
      </c>
      <c r="S34" s="195">
        <f t="shared" si="3"/>
        <v>0.4560313620404548</v>
      </c>
      <c r="T34" s="196"/>
      <c r="U34" s="196" t="s">
        <v>3</v>
      </c>
    </row>
    <row r="35" spans="1:21" hidden="1" x14ac:dyDescent="0.25">
      <c r="A35" s="196" t="s">
        <v>244</v>
      </c>
      <c r="B35" s="196" t="s">
        <v>203</v>
      </c>
      <c r="C35" s="196" t="s">
        <v>322</v>
      </c>
      <c r="D35" s="196" t="s">
        <v>322</v>
      </c>
      <c r="E35" s="200" t="s">
        <v>259</v>
      </c>
      <c r="F35" s="196" t="s">
        <v>86</v>
      </c>
      <c r="G35" s="204">
        <v>74371.509999999995</v>
      </c>
      <c r="H35" s="189">
        <v>74371.509999999995</v>
      </c>
      <c r="I35" s="190">
        <v>0</v>
      </c>
      <c r="J35" s="197">
        <f>H35*I35</f>
        <v>0</v>
      </c>
      <c r="K35" s="189">
        <v>0</v>
      </c>
      <c r="L35" s="189"/>
      <c r="M35" s="197">
        <f>J35-K35</f>
        <v>0</v>
      </c>
      <c r="N35" s="196" t="s">
        <v>81</v>
      </c>
      <c r="O35" s="191">
        <f>SUMIFS(客户表!Z:Z,客户表!J:J,A35,客户表!A:A,E35,客户表!N:N,F35)</f>
        <v>0</v>
      </c>
      <c r="P35" s="198"/>
      <c r="Q35" s="194">
        <f t="shared" ref="Q35:Q60" si="11">(O35-G35+J35)/1.06</f>
        <v>-70161.80188679244</v>
      </c>
      <c r="R35" s="194">
        <f t="shared" si="2"/>
        <v>-70161.80188679244</v>
      </c>
      <c r="S35" s="195" t="str">
        <f t="shared" si="3"/>
        <v>-</v>
      </c>
      <c r="T35" s="196"/>
      <c r="U35" s="196" t="s">
        <v>3</v>
      </c>
    </row>
    <row r="36" spans="1:21" x14ac:dyDescent="0.25">
      <c r="A36" s="196" t="s">
        <v>78</v>
      </c>
      <c r="B36" s="196" t="s">
        <v>78</v>
      </c>
      <c r="C36" s="196" t="s">
        <v>77</v>
      </c>
      <c r="D36" s="196" t="s">
        <v>320</v>
      </c>
      <c r="E36" s="200" t="s">
        <v>276</v>
      </c>
      <c r="F36" s="196" t="s">
        <v>86</v>
      </c>
      <c r="G36" s="204">
        <f>1309142.6+4.54-205559.750000004</f>
        <v>1103587.3899999962</v>
      </c>
      <c r="H36" s="204">
        <f>1309142.6+4.54-205559.750000004</f>
        <v>1103587.3899999962</v>
      </c>
      <c r="I36" s="202">
        <f>J36/H36</f>
        <v>6.6126439784298954E-2</v>
      </c>
      <c r="J36" s="197">
        <v>72976.305091546397</v>
      </c>
      <c r="K36" s="189"/>
      <c r="L36" s="189"/>
      <c r="M36" s="197"/>
      <c r="N36" s="196" t="s">
        <v>87</v>
      </c>
      <c r="O36" s="191">
        <f>SUMIFS(客户表!Z:Z,客户表!J:J,A36,客户表!A:A,E36,客户表!N:N,F36)</f>
        <v>3321550.9961490552</v>
      </c>
      <c r="P36" s="205"/>
      <c r="Q36" s="194">
        <f t="shared" si="11"/>
        <v>2161264.0672081178</v>
      </c>
      <c r="R36" s="194">
        <f t="shared" si="2"/>
        <v>2161264.0672081178</v>
      </c>
      <c r="S36" s="195">
        <f t="shared" si="3"/>
        <v>0.65067917659968111</v>
      </c>
      <c r="T36" s="196"/>
      <c r="U36" s="196" t="s">
        <v>3</v>
      </c>
    </row>
    <row r="37" spans="1:21" hidden="1" x14ac:dyDescent="0.25">
      <c r="A37" s="196" t="s">
        <v>78</v>
      </c>
      <c r="B37" s="196" t="s">
        <v>78</v>
      </c>
      <c r="C37" s="196" t="s">
        <v>77</v>
      </c>
      <c r="D37" s="196" t="s">
        <v>320</v>
      </c>
      <c r="E37" s="200" t="s">
        <v>276</v>
      </c>
      <c r="F37" s="196" t="s">
        <v>126</v>
      </c>
      <c r="G37" s="204">
        <f>108497.63-16133.52</f>
        <v>92364.11</v>
      </c>
      <c r="H37" s="189">
        <v>108497.63</v>
      </c>
      <c r="I37" s="202">
        <f>J37/H37</f>
        <v>6.6343399561373459E-2</v>
      </c>
      <c r="J37" s="197">
        <v>7198.1016185520602</v>
      </c>
      <c r="K37" s="189"/>
      <c r="L37" s="189"/>
      <c r="M37" s="197"/>
      <c r="N37" s="196" t="s">
        <v>87</v>
      </c>
      <c r="O37" s="191">
        <f>SUMIFS(客户表!Z:Z,客户表!J:J,A37,客户表!A:A,E37,客户表!N:N,F37)</f>
        <v>302142.75610922329</v>
      </c>
      <c r="P37" s="205"/>
      <c r="Q37" s="194">
        <f t="shared" si="11"/>
        <v>204695.04502620315</v>
      </c>
      <c r="R37" s="194">
        <f t="shared" si="2"/>
        <v>204695.04502620315</v>
      </c>
      <c r="S37" s="195">
        <f t="shared" si="3"/>
        <v>0.67747791693608161</v>
      </c>
      <c r="T37" s="196"/>
      <c r="U37" s="196" t="s">
        <v>3</v>
      </c>
    </row>
    <row r="38" spans="1:21" hidden="1" x14ac:dyDescent="0.25">
      <c r="A38" s="196" t="s">
        <v>78</v>
      </c>
      <c r="B38" s="196" t="s">
        <v>78</v>
      </c>
      <c r="C38" s="196" t="s">
        <v>77</v>
      </c>
      <c r="D38" s="196" t="s">
        <v>320</v>
      </c>
      <c r="E38" s="200" t="s">
        <v>276</v>
      </c>
      <c r="F38" s="196" t="s">
        <v>201</v>
      </c>
      <c r="G38" s="191">
        <v>3800150</v>
      </c>
      <c r="H38" s="191">
        <v>3800150</v>
      </c>
      <c r="I38" s="202">
        <f>J38/H38</f>
        <v>6.6126439784299038E-2</v>
      </c>
      <c r="J38" s="197">
        <v>251290.39014630401</v>
      </c>
      <c r="K38" s="189">
        <v>714132</v>
      </c>
      <c r="L38" s="189">
        <v>714132</v>
      </c>
      <c r="M38" s="197">
        <f t="shared" ref="M38:M45" si="12">J38-K38</f>
        <v>-462841.60985369596</v>
      </c>
      <c r="N38" s="196" t="s">
        <v>321</v>
      </c>
      <c r="O38" s="191">
        <f>SUMIFS(客户表!Z:Z,客户表!J:J,A38,客户表!A:A,E38,客户表!N:N,F38)</f>
        <v>10757762.080000002</v>
      </c>
      <c r="P38" s="205"/>
      <c r="Q38" s="194">
        <f t="shared" si="11"/>
        <v>6800851.3869304769</v>
      </c>
      <c r="R38" s="194">
        <f t="shared" si="2"/>
        <v>6800851.3869304769</v>
      </c>
      <c r="S38" s="195">
        <f t="shared" si="3"/>
        <v>0.63218086962288311</v>
      </c>
      <c r="T38" s="196"/>
      <c r="U38" s="196" t="s">
        <v>3</v>
      </c>
    </row>
    <row r="39" spans="1:21" hidden="1" x14ac:dyDescent="0.25">
      <c r="A39" s="196" t="s">
        <v>78</v>
      </c>
      <c r="B39" s="196" t="s">
        <v>78</v>
      </c>
      <c r="C39" s="196" t="s">
        <v>77</v>
      </c>
      <c r="D39" s="196" t="s">
        <v>320</v>
      </c>
      <c r="E39" s="200" t="s">
        <v>276</v>
      </c>
      <c r="F39" s="196" t="s">
        <v>212</v>
      </c>
      <c r="G39" s="191">
        <v>173947.4</v>
      </c>
      <c r="H39" s="191">
        <f>G39</f>
        <v>173947.4</v>
      </c>
      <c r="I39" s="202">
        <f>J39/H39</f>
        <v>6.6126439784299162E-2</v>
      </c>
      <c r="J39" s="197">
        <v>11502.522271735401</v>
      </c>
      <c r="K39" s="189">
        <v>0</v>
      </c>
      <c r="L39" s="189"/>
      <c r="M39" s="197">
        <f t="shared" si="12"/>
        <v>11502.522271735401</v>
      </c>
      <c r="N39" s="196" t="s">
        <v>321</v>
      </c>
      <c r="O39" s="191">
        <f>SUMIFS(客户表!Z:Z,客户表!J:J,A39,客户表!A:A,E39,客户表!N:N,F39)</f>
        <v>178187.4</v>
      </c>
      <c r="P39" s="205"/>
      <c r="Q39" s="194">
        <f t="shared" si="11"/>
        <v>14851.436105410754</v>
      </c>
      <c r="R39" s="194">
        <f t="shared" si="2"/>
        <v>14851.436105410754</v>
      </c>
      <c r="S39" s="195">
        <f t="shared" si="3"/>
        <v>8.3347285528666756E-2</v>
      </c>
      <c r="T39" s="196"/>
      <c r="U39" s="196" t="s">
        <v>3</v>
      </c>
    </row>
    <row r="40" spans="1:21" hidden="1" x14ac:dyDescent="0.25">
      <c r="A40" s="196" t="s">
        <v>244</v>
      </c>
      <c r="B40" s="196" t="s">
        <v>203</v>
      </c>
      <c r="C40" s="196" t="s">
        <v>322</v>
      </c>
      <c r="D40" s="196" t="s">
        <v>322</v>
      </c>
      <c r="E40" s="200" t="s">
        <v>276</v>
      </c>
      <c r="F40" s="196" t="s">
        <v>86</v>
      </c>
      <c r="G40" s="191">
        <v>109734.59</v>
      </c>
      <c r="H40" s="191">
        <v>109734.59</v>
      </c>
      <c r="I40" s="203">
        <v>0</v>
      </c>
      <c r="J40" s="197">
        <f t="shared" ref="J40:J43" si="13">H40*I40</f>
        <v>0</v>
      </c>
      <c r="K40" s="189">
        <v>0</v>
      </c>
      <c r="L40" s="189"/>
      <c r="M40" s="197">
        <f t="shared" si="12"/>
        <v>0</v>
      </c>
      <c r="N40" s="196" t="s">
        <v>81</v>
      </c>
      <c r="O40" s="191">
        <f>SUMIFS(客户表!Z:Z,客户表!J:J,A40,客户表!A:A,E40,客户表!N:N,F40)</f>
        <v>0</v>
      </c>
      <c r="P40" s="205"/>
      <c r="Q40" s="194">
        <f t="shared" si="11"/>
        <v>-103523.19811320755</v>
      </c>
      <c r="R40" s="194">
        <f t="shared" si="2"/>
        <v>-103523.19811320755</v>
      </c>
      <c r="S40" s="195" t="str">
        <f t="shared" si="3"/>
        <v>-</v>
      </c>
      <c r="T40" s="196"/>
      <c r="U40" s="196" t="s">
        <v>3</v>
      </c>
    </row>
    <row r="41" spans="1:21" hidden="1" x14ac:dyDescent="0.25">
      <c r="A41" s="196" t="s">
        <v>207</v>
      </c>
      <c r="B41" s="196" t="s">
        <v>203</v>
      </c>
      <c r="C41" s="196" t="s">
        <v>285</v>
      </c>
      <c r="D41" s="196" t="s">
        <v>285</v>
      </c>
      <c r="E41" s="200" t="s">
        <v>276</v>
      </c>
      <c r="F41" s="196" t="s">
        <v>86</v>
      </c>
      <c r="G41" s="191">
        <v>81000</v>
      </c>
      <c r="H41" s="191">
        <v>81000</v>
      </c>
      <c r="I41" s="203">
        <v>0</v>
      </c>
      <c r="J41" s="197">
        <f t="shared" si="13"/>
        <v>0</v>
      </c>
      <c r="K41" s="189">
        <v>0</v>
      </c>
      <c r="L41" s="189"/>
      <c r="M41" s="197">
        <f t="shared" si="12"/>
        <v>0</v>
      </c>
      <c r="N41" s="196" t="s">
        <v>81</v>
      </c>
      <c r="O41" s="191">
        <f>SUMIFS(客户表!Z:Z,客户表!J:J,A41,客户表!A:A,E41,客户表!N:N,F41)</f>
        <v>0</v>
      </c>
      <c r="P41" s="205"/>
      <c r="Q41" s="194">
        <f t="shared" si="11"/>
        <v>-76415.094339622636</v>
      </c>
      <c r="R41" s="194">
        <f t="shared" si="2"/>
        <v>-76415.094339622636</v>
      </c>
      <c r="S41" s="195" t="str">
        <f t="shared" si="3"/>
        <v>-</v>
      </c>
      <c r="T41" s="196"/>
      <c r="U41" s="196" t="s">
        <v>3</v>
      </c>
    </row>
    <row r="42" spans="1:21" hidden="1" x14ac:dyDescent="0.25">
      <c r="A42" s="196" t="s">
        <v>284</v>
      </c>
      <c r="B42" s="196" t="s">
        <v>203</v>
      </c>
      <c r="C42" s="196" t="s">
        <v>210</v>
      </c>
      <c r="D42" s="196" t="s">
        <v>210</v>
      </c>
      <c r="E42" s="200" t="s">
        <v>276</v>
      </c>
      <c r="F42" s="196" t="s">
        <v>212</v>
      </c>
      <c r="G42" s="191">
        <v>14970000</v>
      </c>
      <c r="H42" s="191">
        <v>14970000</v>
      </c>
      <c r="I42" s="203">
        <v>0</v>
      </c>
      <c r="J42" s="197">
        <f t="shared" si="13"/>
        <v>0</v>
      </c>
      <c r="K42" s="189">
        <v>0</v>
      </c>
      <c r="L42" s="189"/>
      <c r="M42" s="197">
        <f t="shared" si="12"/>
        <v>0</v>
      </c>
      <c r="N42" s="196" t="s">
        <v>81</v>
      </c>
      <c r="O42" s="191">
        <f>SUMIFS(客户表!Z:Z,客户表!J:J,A42,客户表!A:A,E42,客户表!N:N,F42)</f>
        <v>14820300</v>
      </c>
      <c r="P42" s="205"/>
      <c r="Q42" s="194">
        <f t="shared" si="11"/>
        <v>-141226.41509433961</v>
      </c>
      <c r="R42" s="194">
        <f t="shared" si="2"/>
        <v>-141226.41509433961</v>
      </c>
      <c r="S42" s="195">
        <f t="shared" si="3"/>
        <v>-9.5292548122736798E-3</v>
      </c>
      <c r="T42" s="196"/>
      <c r="U42" s="196" t="s">
        <v>3</v>
      </c>
    </row>
    <row r="43" spans="1:21" hidden="1" x14ac:dyDescent="0.25">
      <c r="A43" s="196" t="s">
        <v>288</v>
      </c>
      <c r="B43" s="196" t="s">
        <v>203</v>
      </c>
      <c r="C43" s="196" t="s">
        <v>289</v>
      </c>
      <c r="D43" s="196" t="s">
        <v>323</v>
      </c>
      <c r="E43" s="200" t="s">
        <v>276</v>
      </c>
      <c r="F43" s="196" t="s">
        <v>201</v>
      </c>
      <c r="G43" s="191">
        <v>0</v>
      </c>
      <c r="H43" s="191">
        <v>0</v>
      </c>
      <c r="I43" s="203">
        <v>0</v>
      </c>
      <c r="J43" s="197">
        <f t="shared" si="13"/>
        <v>0</v>
      </c>
      <c r="K43" s="189">
        <v>0</v>
      </c>
      <c r="L43" s="189">
        <v>0</v>
      </c>
      <c r="M43" s="197">
        <f t="shared" si="12"/>
        <v>0</v>
      </c>
      <c r="N43" s="196" t="s">
        <v>81</v>
      </c>
      <c r="O43" s="191">
        <f>SUMIFS(客户表!Z:Z,客户表!J:J,A43,客户表!A:A,E43,客户表!N:N,F43)</f>
        <v>-300000</v>
      </c>
      <c r="P43" s="205"/>
      <c r="Q43" s="194">
        <f t="shared" si="11"/>
        <v>-283018.86792452831</v>
      </c>
      <c r="R43" s="194">
        <f t="shared" si="2"/>
        <v>-283018.86792452831</v>
      </c>
      <c r="S43" s="195">
        <f t="shared" si="3"/>
        <v>0.94339622641509435</v>
      </c>
      <c r="T43" s="196"/>
      <c r="U43" s="196" t="s">
        <v>3</v>
      </c>
    </row>
    <row r="44" spans="1:21" hidden="1" x14ac:dyDescent="0.25">
      <c r="A44" s="196" t="s">
        <v>288</v>
      </c>
      <c r="B44" s="196" t="s">
        <v>203</v>
      </c>
      <c r="C44" s="196" t="s">
        <v>289</v>
      </c>
      <c r="D44" s="196" t="s">
        <v>323</v>
      </c>
      <c r="E44" s="200" t="s">
        <v>276</v>
      </c>
      <c r="F44" s="196" t="s">
        <v>86</v>
      </c>
      <c r="G44" s="191">
        <v>0</v>
      </c>
      <c r="H44" s="191">
        <v>0</v>
      </c>
      <c r="I44" s="203">
        <v>0</v>
      </c>
      <c r="J44" s="197">
        <f t="shared" ref="J44:J59" si="14">H44*I44</f>
        <v>0</v>
      </c>
      <c r="K44" s="189">
        <v>0</v>
      </c>
      <c r="L44" s="189">
        <v>0</v>
      </c>
      <c r="M44" s="197">
        <f t="shared" si="12"/>
        <v>0</v>
      </c>
      <c r="N44" s="196" t="s">
        <v>81</v>
      </c>
      <c r="O44" s="191">
        <f>SUMIFS(客户表!Z:Z,客户表!J:J,A44,客户表!A:A,E44,客户表!N:N,F44)</f>
        <v>162816</v>
      </c>
      <c r="P44" s="205"/>
      <c r="Q44" s="194">
        <f t="shared" si="11"/>
        <v>153600</v>
      </c>
      <c r="R44" s="194">
        <f t="shared" ref="R44:R49" si="15">Q44-(P44/1.06)</f>
        <v>153600</v>
      </c>
      <c r="S44" s="195">
        <f t="shared" ref="S44:S49" si="16">IFERROR(R44/O44,"-")</f>
        <v>0.94339622641509435</v>
      </c>
      <c r="T44" s="196"/>
      <c r="U44" s="196" t="s">
        <v>3</v>
      </c>
    </row>
    <row r="45" spans="1:21" x14ac:dyDescent="0.25">
      <c r="A45" s="196" t="s">
        <v>78</v>
      </c>
      <c r="B45" s="196" t="s">
        <v>78</v>
      </c>
      <c r="C45" s="196" t="s">
        <v>77</v>
      </c>
      <c r="D45" s="196" t="s">
        <v>320</v>
      </c>
      <c r="E45" s="200" t="s">
        <v>293</v>
      </c>
      <c r="F45" s="196" t="s">
        <v>86</v>
      </c>
      <c r="G45" s="204">
        <v>2282908.87</v>
      </c>
      <c r="H45" s="189">
        <v>2282908.87</v>
      </c>
      <c r="I45" s="190">
        <f>J45/H45</f>
        <v>2.8887010382847366E-2</v>
      </c>
      <c r="J45" s="197">
        <v>65946.41223078435</v>
      </c>
      <c r="K45" s="189">
        <v>818979.1</v>
      </c>
      <c r="L45" s="189">
        <v>818979.1</v>
      </c>
      <c r="M45" s="197">
        <f t="shared" si="12"/>
        <v>-753032.68776921567</v>
      </c>
      <c r="N45" s="196" t="s">
        <v>87</v>
      </c>
      <c r="O45" s="191">
        <f>SUMIFS(客户表!Z:Z,客户表!J:J,A45,客户表!A:A,E45,客户表!N:N,F45)</f>
        <v>3062235.8408221942</v>
      </c>
      <c r="P45" s="205"/>
      <c r="Q45" s="194">
        <f t="shared" si="11"/>
        <v>797427.71986130031</v>
      </c>
      <c r="R45" s="194">
        <f t="shared" si="15"/>
        <v>797427.71986130031</v>
      </c>
      <c r="S45" s="195">
        <f t="shared" si="16"/>
        <v>0.2604070232706816</v>
      </c>
      <c r="T45" s="196"/>
      <c r="U45" s="189" t="s">
        <v>3</v>
      </c>
    </row>
    <row r="46" spans="1:21" hidden="1" x14ac:dyDescent="0.25">
      <c r="A46" s="196" t="s">
        <v>78</v>
      </c>
      <c r="B46" s="196" t="s">
        <v>78</v>
      </c>
      <c r="C46" s="196" t="s">
        <v>77</v>
      </c>
      <c r="D46" s="196" t="s">
        <v>320</v>
      </c>
      <c r="E46" s="200" t="s">
        <v>293</v>
      </c>
      <c r="F46" s="196" t="s">
        <v>126</v>
      </c>
      <c r="G46" s="204">
        <v>848700.78</v>
      </c>
      <c r="H46" s="189">
        <v>848700.78</v>
      </c>
      <c r="I46" s="202">
        <f>J46/H46</f>
        <v>2.9439982915793299E-2</v>
      </c>
      <c r="J46" s="197">
        <v>24985.736463820449</v>
      </c>
      <c r="K46" s="189">
        <v>0</v>
      </c>
      <c r="L46" s="189"/>
      <c r="M46" s="197">
        <f t="shared" ref="M46:M59" si="17">J46-K46</f>
        <v>24985.736463820449</v>
      </c>
      <c r="N46" s="196" t="s">
        <v>87</v>
      </c>
      <c r="O46" s="191">
        <f>SUMIFS(客户表!Z:Z,客户表!J:J,A46,客户表!A:A,E46,客户表!N:N,F46)</f>
        <v>1060882.7239466016</v>
      </c>
      <c r="P46" s="205"/>
      <c r="Q46" s="194">
        <f t="shared" si="11"/>
        <v>223743.09472681323</v>
      </c>
      <c r="R46" s="194">
        <f t="shared" si="15"/>
        <v>223743.09472681323</v>
      </c>
      <c r="S46" s="195">
        <f t="shared" si="16"/>
        <v>0.21090276019809623</v>
      </c>
      <c r="T46" s="196"/>
      <c r="U46" s="189" t="s">
        <v>3</v>
      </c>
    </row>
    <row r="47" spans="1:21" hidden="1" x14ac:dyDescent="0.25">
      <c r="A47" s="196" t="s">
        <v>78</v>
      </c>
      <c r="B47" s="196" t="s">
        <v>78</v>
      </c>
      <c r="C47" s="196" t="s">
        <v>326</v>
      </c>
      <c r="D47" s="196" t="s">
        <v>326</v>
      </c>
      <c r="E47" s="200" t="s">
        <v>293</v>
      </c>
      <c r="F47" s="196" t="s">
        <v>201</v>
      </c>
      <c r="G47" s="204">
        <v>3800150</v>
      </c>
      <c r="H47" s="189">
        <v>3800150</v>
      </c>
      <c r="I47" s="190">
        <f t="shared" ref="I47:I48" si="18">J47/H47</f>
        <v>2.8887010382847359E-2</v>
      </c>
      <c r="J47" s="197">
        <v>109774.97250637739</v>
      </c>
      <c r="K47" s="189">
        <v>0</v>
      </c>
      <c r="L47" s="189"/>
      <c r="M47" s="197">
        <f t="shared" si="17"/>
        <v>109774.97250637739</v>
      </c>
      <c r="N47" s="196" t="s">
        <v>87</v>
      </c>
      <c r="O47" s="191">
        <f>SUMIFS(客户表!Z:Z,客户表!J:J,A47,客户表!A:A,E47,客户表!N:N,F47)</f>
        <v>6890271.7943396233</v>
      </c>
      <c r="P47" s="205"/>
      <c r="Q47" s="194">
        <f t="shared" si="11"/>
        <v>3018770.5347603778</v>
      </c>
      <c r="R47" s="194">
        <f t="shared" si="15"/>
        <v>3018770.5347603778</v>
      </c>
      <c r="S47" s="195">
        <f t="shared" si="16"/>
        <v>0.43812067576787117</v>
      </c>
      <c r="T47" s="196"/>
      <c r="U47" s="189" t="s">
        <v>3</v>
      </c>
    </row>
    <row r="48" spans="1:21" hidden="1" x14ac:dyDescent="0.25">
      <c r="A48" s="196" t="s">
        <v>78</v>
      </c>
      <c r="B48" s="196" t="s">
        <v>78</v>
      </c>
      <c r="C48" s="196" t="s">
        <v>326</v>
      </c>
      <c r="D48" s="196" t="s">
        <v>326</v>
      </c>
      <c r="E48" s="200" t="s">
        <v>293</v>
      </c>
      <c r="F48" s="196" t="s">
        <v>212</v>
      </c>
      <c r="G48" s="204">
        <v>213617.35</v>
      </c>
      <c r="H48" s="189">
        <v>213617.35</v>
      </c>
      <c r="I48" s="190">
        <f t="shared" si="18"/>
        <v>2.8887010382847363E-2</v>
      </c>
      <c r="J48" s="197">
        <v>6170.7666074063391</v>
      </c>
      <c r="K48" s="189">
        <v>0</v>
      </c>
      <c r="L48" s="189"/>
      <c r="M48" s="197">
        <f t="shared" si="17"/>
        <v>6170.7666074063391</v>
      </c>
      <c r="N48" s="196" t="s">
        <v>87</v>
      </c>
      <c r="O48" s="191">
        <f>SUMIFS(客户表!Z:Z,客户表!J:J,A48,客户表!A:A,E48,客户表!N:N,F48)</f>
        <v>213617.35</v>
      </c>
      <c r="P48" s="205"/>
      <c r="Q48" s="194">
        <f t="shared" si="11"/>
        <v>5821.4779315154137</v>
      </c>
      <c r="R48" s="194">
        <f t="shared" si="15"/>
        <v>5821.4779315154137</v>
      </c>
      <c r="S48" s="195">
        <f t="shared" si="16"/>
        <v>2.7251896587591848E-2</v>
      </c>
      <c r="T48" s="196"/>
      <c r="U48" s="189" t="s">
        <v>3</v>
      </c>
    </row>
    <row r="49" spans="1:21" hidden="1" x14ac:dyDescent="0.25">
      <c r="A49" s="196" t="s">
        <v>284</v>
      </c>
      <c r="B49" s="196" t="s">
        <v>203</v>
      </c>
      <c r="C49" s="196" t="s">
        <v>210</v>
      </c>
      <c r="D49" s="196" t="s">
        <v>210</v>
      </c>
      <c r="E49" s="200" t="s">
        <v>293</v>
      </c>
      <c r="F49" s="196" t="s">
        <v>212</v>
      </c>
      <c r="G49" s="204">
        <v>14850000</v>
      </c>
      <c r="H49" s="204">
        <v>14850000</v>
      </c>
      <c r="I49" s="190">
        <v>0</v>
      </c>
      <c r="J49" s="197">
        <f t="shared" si="14"/>
        <v>0</v>
      </c>
      <c r="K49" s="189">
        <v>0</v>
      </c>
      <c r="L49" s="189"/>
      <c r="M49" s="197">
        <f t="shared" si="17"/>
        <v>0</v>
      </c>
      <c r="N49" s="196" t="s">
        <v>81</v>
      </c>
      <c r="O49" s="191">
        <f>SUMIFS(客户表!Z:Z,客户表!J:J,A49,客户表!A:A,E49,客户表!N:N,F49)</f>
        <v>14701500</v>
      </c>
      <c r="P49" s="205"/>
      <c r="Q49" s="194">
        <f t="shared" si="11"/>
        <v>-140094.33962264151</v>
      </c>
      <c r="R49" s="194">
        <f t="shared" si="15"/>
        <v>-140094.33962264151</v>
      </c>
      <c r="S49" s="195">
        <f t="shared" si="16"/>
        <v>-9.5292548122736798E-3</v>
      </c>
      <c r="T49" s="196"/>
      <c r="U49" s="189" t="s">
        <v>3</v>
      </c>
    </row>
    <row r="50" spans="1:21" s="132" customFormat="1" x14ac:dyDescent="0.25">
      <c r="A50" s="206" t="s">
        <v>78</v>
      </c>
      <c r="B50" s="206" t="s">
        <v>78</v>
      </c>
      <c r="C50" s="206" t="s">
        <v>77</v>
      </c>
      <c r="D50" s="206" t="s">
        <v>320</v>
      </c>
      <c r="E50" s="188" t="s">
        <v>297</v>
      </c>
      <c r="F50" s="206" t="s">
        <v>86</v>
      </c>
      <c r="G50" s="207">
        <f>1214015.4+23.35-133492.43+101365.84</f>
        <v>1181912.1600000001</v>
      </c>
      <c r="H50" s="207">
        <f>1214015.4+23.35-133492.43+101365.84</f>
        <v>1181912.1600000001</v>
      </c>
      <c r="I50" s="190">
        <f>J50/H50</f>
        <v>2.6409536868617633E-2</v>
      </c>
      <c r="J50" s="192">
        <v>31213.752764987508</v>
      </c>
      <c r="K50" s="191"/>
      <c r="L50" s="191"/>
      <c r="M50" s="192">
        <f t="shared" si="17"/>
        <v>31213.752764987508</v>
      </c>
      <c r="N50" s="206" t="s">
        <v>87</v>
      </c>
      <c r="O50" s="191">
        <f>SUMIFS(客户表!Z:Z,客户表!J:J,A50,客户表!A:A,E50,客户表!N:N,F50)</f>
        <v>2548388.1443430432</v>
      </c>
      <c r="P50" s="194"/>
      <c r="Q50" s="194">
        <f t="shared" si="11"/>
        <v>1318575.2236868213</v>
      </c>
      <c r="R50" s="194">
        <f t="shared" ref="R50:R60" si="19">Q50-(P50/1.06)</f>
        <v>1318575.2236868213</v>
      </c>
      <c r="S50" s="195">
        <f t="shared" ref="S50:S60" si="20">IFERROR(R50/O50,"-")</f>
        <v>0.51741538141033094</v>
      </c>
      <c r="T50" s="206"/>
      <c r="U50" s="191" t="s">
        <v>3</v>
      </c>
    </row>
    <row r="51" spans="1:21" hidden="1" x14ac:dyDescent="0.25">
      <c r="A51" s="196" t="s">
        <v>78</v>
      </c>
      <c r="B51" s="196" t="s">
        <v>78</v>
      </c>
      <c r="C51" s="206" t="s">
        <v>77</v>
      </c>
      <c r="D51" s="196" t="s">
        <v>320</v>
      </c>
      <c r="E51" s="200" t="s">
        <v>297</v>
      </c>
      <c r="F51" s="206" t="s">
        <v>126</v>
      </c>
      <c r="G51" s="204">
        <v>931136.84</v>
      </c>
      <c r="H51" s="189">
        <v>931136.84</v>
      </c>
      <c r="I51" s="202">
        <f>J51/H51</f>
        <v>2.9439982915793302E-2</v>
      </c>
      <c r="J51" s="192">
        <v>27412.652661865759</v>
      </c>
      <c r="K51" s="189"/>
      <c r="L51" s="189"/>
      <c r="M51" s="192">
        <f t="shared" si="17"/>
        <v>27412.652661865759</v>
      </c>
      <c r="N51" s="206" t="s">
        <v>87</v>
      </c>
      <c r="O51" s="191">
        <f>SUMIFS(客户表!Z:Z,客户表!J:J,A51,客户表!A:A,E51,客户表!N:N,F51)</f>
        <v>2007268.199514563</v>
      </c>
      <c r="P51" s="205"/>
      <c r="Q51" s="194">
        <f t="shared" si="11"/>
        <v>1041079.2567702157</v>
      </c>
      <c r="R51" s="194">
        <f t="shared" si="19"/>
        <v>1041079.2567702157</v>
      </c>
      <c r="S51" s="195">
        <f t="shared" si="20"/>
        <v>0.51865478515625862</v>
      </c>
      <c r="T51" s="196"/>
      <c r="U51" s="189" t="s">
        <v>3</v>
      </c>
    </row>
    <row r="52" spans="1:21" hidden="1" x14ac:dyDescent="0.25">
      <c r="A52" s="196" t="s">
        <v>78</v>
      </c>
      <c r="B52" s="196" t="s">
        <v>78</v>
      </c>
      <c r="C52" s="206" t="s">
        <v>326</v>
      </c>
      <c r="D52" s="196" t="s">
        <v>326</v>
      </c>
      <c r="E52" s="200" t="s">
        <v>297</v>
      </c>
      <c r="F52" s="206" t="s">
        <v>201</v>
      </c>
      <c r="G52" s="189">
        <v>3800150</v>
      </c>
      <c r="H52" s="189">
        <v>3800150</v>
      </c>
      <c r="I52" s="190">
        <f t="shared" ref="I52:I53" si="21">J52/H52</f>
        <v>2.8887010382847359E-2</v>
      </c>
      <c r="J52" s="192">
        <v>109774.97250637739</v>
      </c>
      <c r="K52" s="189">
        <v>0</v>
      </c>
      <c r="L52" s="189"/>
      <c r="M52" s="192">
        <f t="shared" si="17"/>
        <v>109774.97250637739</v>
      </c>
      <c r="N52" s="206" t="s">
        <v>321</v>
      </c>
      <c r="O52" s="191">
        <f>SUMIFS(客户表!Z:Z,客户表!J:J,A52,客户表!A:A,E52,客户表!N:N,F52)</f>
        <v>6890271.7943396233</v>
      </c>
      <c r="P52" s="205"/>
      <c r="Q52" s="194">
        <f t="shared" si="11"/>
        <v>3018770.5347603778</v>
      </c>
      <c r="R52" s="194">
        <f t="shared" si="19"/>
        <v>3018770.5347603778</v>
      </c>
      <c r="S52" s="195">
        <f t="shared" si="20"/>
        <v>0.43812067576787117</v>
      </c>
      <c r="T52" s="196"/>
      <c r="U52" s="189" t="s">
        <v>3</v>
      </c>
    </row>
    <row r="53" spans="1:21" hidden="1" x14ac:dyDescent="0.25">
      <c r="A53" s="196" t="s">
        <v>78</v>
      </c>
      <c r="B53" s="196" t="s">
        <v>78</v>
      </c>
      <c r="C53" s="206" t="s">
        <v>326</v>
      </c>
      <c r="D53" s="196" t="s">
        <v>326</v>
      </c>
      <c r="E53" s="200" t="s">
        <v>297</v>
      </c>
      <c r="F53" s="206" t="s">
        <v>212</v>
      </c>
      <c r="G53" s="189">
        <v>105892.32</v>
      </c>
      <c r="H53" s="189">
        <v>105892.32</v>
      </c>
      <c r="I53" s="190">
        <f t="shared" si="21"/>
        <v>2.8887010382847363E-2</v>
      </c>
      <c r="J53" s="192">
        <v>3058.9125473037957</v>
      </c>
      <c r="K53" s="189">
        <v>0</v>
      </c>
      <c r="L53" s="189"/>
      <c r="M53" s="192">
        <f t="shared" si="17"/>
        <v>3058.9125473037957</v>
      </c>
      <c r="N53" s="206" t="s">
        <v>81</v>
      </c>
      <c r="O53" s="191">
        <f>SUMIFS(客户表!Z:Z,客户表!J:J,A53,客户表!A:A,E53,客户表!N:N,F53)</f>
        <v>637346.4</v>
      </c>
      <c r="P53" s="205"/>
      <c r="Q53" s="194">
        <f t="shared" si="11"/>
        <v>504257.54013896594</v>
      </c>
      <c r="R53" s="194">
        <f t="shared" si="19"/>
        <v>504257.54013896594</v>
      </c>
      <c r="S53" s="195">
        <f t="shared" si="20"/>
        <v>0.79118284835211417</v>
      </c>
      <c r="T53" s="196"/>
      <c r="U53" s="189" t="s">
        <v>3</v>
      </c>
    </row>
    <row r="54" spans="1:21" hidden="1" x14ac:dyDescent="0.25">
      <c r="A54" s="196" t="s">
        <v>244</v>
      </c>
      <c r="B54" s="196" t="s">
        <v>203</v>
      </c>
      <c r="C54" s="206" t="s">
        <v>299</v>
      </c>
      <c r="D54" s="196" t="s">
        <v>322</v>
      </c>
      <c r="E54" s="200" t="s">
        <v>297</v>
      </c>
      <c r="F54" s="206" t="s">
        <v>86</v>
      </c>
      <c r="G54" s="189">
        <v>104062.64</v>
      </c>
      <c r="H54" s="189">
        <v>104062.64</v>
      </c>
      <c r="I54" s="190">
        <v>0</v>
      </c>
      <c r="J54" s="192">
        <f t="shared" si="14"/>
        <v>0</v>
      </c>
      <c r="K54" s="189">
        <v>0</v>
      </c>
      <c r="L54" s="189"/>
      <c r="M54" s="192">
        <f t="shared" si="17"/>
        <v>0</v>
      </c>
      <c r="N54" s="206" t="s">
        <v>81</v>
      </c>
      <c r="O54" s="191">
        <f>SUMIFS(客户表!Z:Z,客户表!J:J,A54,客户表!A:A,E54,客户表!N:N,F54)</f>
        <v>0</v>
      </c>
      <c r="P54" s="205"/>
      <c r="Q54" s="194">
        <f t="shared" si="11"/>
        <v>-98172.30188679244</v>
      </c>
      <c r="R54" s="194">
        <f t="shared" si="19"/>
        <v>-98172.30188679244</v>
      </c>
      <c r="S54" s="195" t="str">
        <f t="shared" si="20"/>
        <v>-</v>
      </c>
      <c r="T54" s="196"/>
      <c r="U54" s="189" t="s">
        <v>3</v>
      </c>
    </row>
    <row r="55" spans="1:21" hidden="1" x14ac:dyDescent="0.25">
      <c r="A55" s="196" t="s">
        <v>284</v>
      </c>
      <c r="B55" s="196" t="s">
        <v>203</v>
      </c>
      <c r="C55" s="206" t="s">
        <v>210</v>
      </c>
      <c r="D55" s="206" t="s">
        <v>210</v>
      </c>
      <c r="E55" s="200" t="s">
        <v>297</v>
      </c>
      <c r="F55" s="206" t="s">
        <v>212</v>
      </c>
      <c r="G55" s="189">
        <v>10050000</v>
      </c>
      <c r="H55" s="189">
        <v>10050000</v>
      </c>
      <c r="I55" s="190">
        <v>0</v>
      </c>
      <c r="J55" s="192">
        <f t="shared" si="14"/>
        <v>0</v>
      </c>
      <c r="K55" s="189">
        <v>0</v>
      </c>
      <c r="L55" s="189"/>
      <c r="M55" s="192">
        <f t="shared" si="17"/>
        <v>0</v>
      </c>
      <c r="N55" s="206" t="s">
        <v>81</v>
      </c>
      <c r="O55" s="191">
        <f>SUMIFS(客户表!Z:Z,客户表!J:J,A55,客户表!A:A,E55,客户表!N:N,F55)</f>
        <v>9949500</v>
      </c>
      <c r="P55" s="205"/>
      <c r="Q55" s="194">
        <f t="shared" si="11"/>
        <v>-94811.320754716973</v>
      </c>
      <c r="R55" s="194">
        <f t="shared" si="19"/>
        <v>-94811.320754716973</v>
      </c>
      <c r="S55" s="195">
        <f t="shared" si="20"/>
        <v>-9.5292548122736798E-3</v>
      </c>
      <c r="T55" s="196"/>
      <c r="U55" s="189" t="s">
        <v>3</v>
      </c>
    </row>
    <row r="56" spans="1:21" s="132" customFormat="1" x14ac:dyDescent="0.25">
      <c r="A56" s="206" t="s">
        <v>78</v>
      </c>
      <c r="B56" s="206" t="s">
        <v>78</v>
      </c>
      <c r="C56" s="206" t="s">
        <v>298</v>
      </c>
      <c r="D56" s="206" t="s">
        <v>326</v>
      </c>
      <c r="E56" s="188" t="s">
        <v>300</v>
      </c>
      <c r="F56" s="206" t="s">
        <v>86</v>
      </c>
      <c r="G56" s="192">
        <f>2923487.05-99.96</f>
        <v>2923387.09</v>
      </c>
      <c r="H56" s="192">
        <v>2923487.05</v>
      </c>
      <c r="I56" s="190">
        <f>J56/H56</f>
        <v>2.8887010382847359E-2</v>
      </c>
      <c r="J56" s="192">
        <v>84450.800767469787</v>
      </c>
      <c r="K56" s="192">
        <v>1158516.3700000001</v>
      </c>
      <c r="L56" s="192">
        <v>1158516.3700000001</v>
      </c>
      <c r="M56" s="192">
        <f t="shared" si="17"/>
        <v>-1074065.5692325304</v>
      </c>
      <c r="N56" s="192" t="s">
        <v>87</v>
      </c>
      <c r="O56" s="191">
        <f>SUMIFS(客户表!Z:Z,客户表!J:J,A56,客户表!A:A,E56,客户表!N:N,F56)</f>
        <v>4003381.309791116</v>
      </c>
      <c r="P56" s="194">
        <v>8600</v>
      </c>
      <c r="Q56" s="194">
        <f t="shared" si="11"/>
        <v>1098533.0382628168</v>
      </c>
      <c r="R56" s="194">
        <f t="shared" si="19"/>
        <v>1090419.830715647</v>
      </c>
      <c r="S56" s="195">
        <f t="shared" si="20"/>
        <v>0.2723747118588965</v>
      </c>
      <c r="T56" s="206"/>
      <c r="U56" s="206" t="s">
        <v>3</v>
      </c>
    </row>
    <row r="57" spans="1:21" hidden="1" x14ac:dyDescent="0.25">
      <c r="A57" s="196" t="s">
        <v>78</v>
      </c>
      <c r="B57" s="196" t="s">
        <v>78</v>
      </c>
      <c r="C57" s="196" t="s">
        <v>298</v>
      </c>
      <c r="D57" s="196" t="s">
        <v>326</v>
      </c>
      <c r="E57" s="200" t="s">
        <v>300</v>
      </c>
      <c r="F57" s="206" t="s">
        <v>126</v>
      </c>
      <c r="G57" s="192">
        <v>195121.15</v>
      </c>
      <c r="H57" s="192">
        <v>195121.15</v>
      </c>
      <c r="I57" s="202">
        <f>J57/H57</f>
        <v>2.9439982915793295E-2</v>
      </c>
      <c r="J57" s="192">
        <v>5744.3633225099411</v>
      </c>
      <c r="K57" s="192">
        <v>0</v>
      </c>
      <c r="L57" s="192"/>
      <c r="M57" s="192">
        <f t="shared" si="17"/>
        <v>5744.3633225099411</v>
      </c>
      <c r="N57" s="192" t="s">
        <v>87</v>
      </c>
      <c r="O57" s="191">
        <f>SUMIFS(客户表!Z:Z,客户表!J:J,A57,客户表!A:A,E57,客户表!N:N,F57)</f>
        <v>540758.74757281551</v>
      </c>
      <c r="P57" s="205"/>
      <c r="Q57" s="194">
        <f t="shared" si="11"/>
        <v>331492.41593898623</v>
      </c>
      <c r="R57" s="194">
        <f t="shared" si="19"/>
        <v>331492.41593898623</v>
      </c>
      <c r="S57" s="195">
        <f t="shared" si="20"/>
        <v>0.61301350634988916</v>
      </c>
      <c r="T57" s="196"/>
      <c r="U57" s="196" t="s">
        <v>3</v>
      </c>
    </row>
    <row r="58" spans="1:21" hidden="1" x14ac:dyDescent="0.25">
      <c r="A58" s="196" t="s">
        <v>78</v>
      </c>
      <c r="B58" s="196" t="s">
        <v>78</v>
      </c>
      <c r="C58" s="196" t="s">
        <v>326</v>
      </c>
      <c r="D58" s="196" t="s">
        <v>326</v>
      </c>
      <c r="E58" s="200" t="s">
        <v>300</v>
      </c>
      <c r="F58" s="206" t="s">
        <v>201</v>
      </c>
      <c r="G58" s="189">
        <v>3800150</v>
      </c>
      <c r="H58" s="189">
        <v>3800150</v>
      </c>
      <c r="I58" s="190">
        <f>J58/H58</f>
        <v>2.8887010382847359E-2</v>
      </c>
      <c r="J58" s="192">
        <v>109774.97250637739</v>
      </c>
      <c r="K58" s="189">
        <v>0</v>
      </c>
      <c r="L58" s="189"/>
      <c r="M58" s="192">
        <f t="shared" si="17"/>
        <v>109774.97250637739</v>
      </c>
      <c r="N58" s="206" t="s">
        <v>321</v>
      </c>
      <c r="O58" s="191">
        <f>SUMIFS(客户表!Z:Z,客户表!J:J,A58,客户表!A:A,E58,客户表!N:N,F58)</f>
        <v>6890271.7943396233</v>
      </c>
      <c r="P58" s="205"/>
      <c r="Q58" s="194">
        <f t="shared" si="11"/>
        <v>3018770.5347603778</v>
      </c>
      <c r="R58" s="194">
        <f t="shared" si="19"/>
        <v>3018770.5347603778</v>
      </c>
      <c r="S58" s="195">
        <f t="shared" si="20"/>
        <v>0.43812067576787117</v>
      </c>
      <c r="T58" s="196"/>
      <c r="U58" s="196" t="s">
        <v>3</v>
      </c>
    </row>
    <row r="59" spans="1:21" hidden="1" x14ac:dyDescent="0.25">
      <c r="A59" s="196" t="s">
        <v>244</v>
      </c>
      <c r="B59" s="196" t="s">
        <v>203</v>
      </c>
      <c r="C59" s="196" t="s">
        <v>322</v>
      </c>
      <c r="D59" s="196" t="s">
        <v>322</v>
      </c>
      <c r="E59" s="200" t="s">
        <v>300</v>
      </c>
      <c r="F59" s="206" t="s">
        <v>86</v>
      </c>
      <c r="G59" s="189">
        <v>97101.3</v>
      </c>
      <c r="H59" s="189">
        <v>97101.3</v>
      </c>
      <c r="I59" s="190">
        <v>0</v>
      </c>
      <c r="J59" s="192">
        <f t="shared" si="14"/>
        <v>0</v>
      </c>
      <c r="K59" s="189">
        <v>0</v>
      </c>
      <c r="L59" s="189"/>
      <c r="M59" s="192">
        <f t="shared" si="17"/>
        <v>0</v>
      </c>
      <c r="N59" s="206" t="s">
        <v>81</v>
      </c>
      <c r="O59" s="191">
        <f>SUMIFS(客户表!Z:Z,客户表!J:J,A59,客户表!A:A,E59,客户表!N:N,F59)</f>
        <v>0</v>
      </c>
      <c r="P59" s="205"/>
      <c r="Q59" s="194">
        <f t="shared" si="11"/>
        <v>-91605</v>
      </c>
      <c r="R59" s="194">
        <f t="shared" si="19"/>
        <v>-91605</v>
      </c>
      <c r="S59" s="195" t="str">
        <f t="shared" si="20"/>
        <v>-</v>
      </c>
      <c r="T59" s="196"/>
      <c r="U59" s="196" t="s">
        <v>3</v>
      </c>
    </row>
    <row r="60" spans="1:21" hidden="1" x14ac:dyDescent="0.25">
      <c r="A60" s="196" t="s">
        <v>284</v>
      </c>
      <c r="B60" s="196" t="s">
        <v>203</v>
      </c>
      <c r="C60" s="196" t="s">
        <v>210</v>
      </c>
      <c r="D60" s="196" t="s">
        <v>210</v>
      </c>
      <c r="E60" s="200" t="s">
        <v>300</v>
      </c>
      <c r="F60" s="206" t="s">
        <v>212</v>
      </c>
      <c r="G60" s="189">
        <v>10080000</v>
      </c>
      <c r="H60" s="189">
        <f t="shared" ref="H60:H62" si="22">G60</f>
        <v>10080000</v>
      </c>
      <c r="I60" s="190">
        <v>0</v>
      </c>
      <c r="J60" s="192"/>
      <c r="K60" s="189"/>
      <c r="L60" s="189"/>
      <c r="M60" s="192"/>
      <c r="N60" s="206" t="s">
        <v>81</v>
      </c>
      <c r="O60" s="191">
        <f>SUMIFS(客户表!Z:Z,客户表!J:J,A60,客户表!A:A,E60,客户表!N:N,F60)</f>
        <v>9979200</v>
      </c>
      <c r="P60" s="205"/>
      <c r="Q60" s="194">
        <f t="shared" si="11"/>
        <v>-95094.339622641506</v>
      </c>
      <c r="R60" s="194">
        <f t="shared" si="19"/>
        <v>-95094.339622641506</v>
      </c>
      <c r="S60" s="195">
        <f t="shared" si="20"/>
        <v>-9.5292548122736798E-3</v>
      </c>
      <c r="T60" s="196"/>
      <c r="U60" s="196" t="s">
        <v>3</v>
      </c>
    </row>
    <row r="61" spans="1:21" s="214" customFormat="1" x14ac:dyDescent="0.25">
      <c r="A61" s="208" t="s">
        <v>78</v>
      </c>
      <c r="B61" s="208" t="s">
        <v>78</v>
      </c>
      <c r="C61" s="208" t="s">
        <v>298</v>
      </c>
      <c r="D61" s="208" t="s">
        <v>326</v>
      </c>
      <c r="E61" s="209" t="s">
        <v>304</v>
      </c>
      <c r="F61" s="208" t="s">
        <v>86</v>
      </c>
      <c r="G61" s="217">
        <f>3603128.25-202731.68</f>
        <v>3400396.57</v>
      </c>
      <c r="H61" s="217">
        <f>G61</f>
        <v>3400396.57</v>
      </c>
      <c r="I61" s="218">
        <v>0.05</v>
      </c>
      <c r="J61" s="219">
        <f t="shared" ref="J61:J64" si="23">H61*I61</f>
        <v>170019.8285</v>
      </c>
      <c r="K61" s="217"/>
      <c r="L61" s="217"/>
      <c r="M61" s="219">
        <f t="shared" ref="M61:M64" si="24">J61-K61</f>
        <v>170019.8285</v>
      </c>
      <c r="N61" s="208" t="s">
        <v>321</v>
      </c>
      <c r="O61" s="210">
        <f>SUMIFS(客户表!Z:Z,客户表!J:J,A61,客户表!A:A,E61,客户表!N:N,F61)</f>
        <v>4003040.1029126216</v>
      </c>
      <c r="P61" s="211"/>
      <c r="Q61" s="211">
        <f>(O61-G61+J61)/1.06</f>
        <v>728927.69944586954</v>
      </c>
      <c r="R61" s="211">
        <f>Q61-(P61/1.06)</f>
        <v>728927.69944586954</v>
      </c>
      <c r="S61" s="212">
        <f>IFERROR(R61/O61,"-")</f>
        <v>0.182093529094425</v>
      </c>
      <c r="T61" s="213"/>
      <c r="U61" s="213" t="s">
        <v>3</v>
      </c>
    </row>
    <row r="62" spans="1:21" hidden="1" x14ac:dyDescent="0.25">
      <c r="A62" s="206" t="s">
        <v>78</v>
      </c>
      <c r="B62" s="206" t="s">
        <v>78</v>
      </c>
      <c r="C62" s="206" t="s">
        <v>298</v>
      </c>
      <c r="D62" s="206" t="s">
        <v>326</v>
      </c>
      <c r="E62" s="188" t="s">
        <v>304</v>
      </c>
      <c r="F62" s="206" t="s">
        <v>126</v>
      </c>
      <c r="G62" s="189">
        <v>1535888.95</v>
      </c>
      <c r="H62" s="189">
        <f t="shared" si="22"/>
        <v>1535888.95</v>
      </c>
      <c r="I62" s="220">
        <v>0.05</v>
      </c>
      <c r="J62" s="192">
        <f t="shared" si="23"/>
        <v>76794.447499999995</v>
      </c>
      <c r="K62" s="189"/>
      <c r="L62" s="189"/>
      <c r="M62" s="192">
        <f t="shared" si="24"/>
        <v>76794.447499999995</v>
      </c>
      <c r="N62" s="206" t="s">
        <v>321</v>
      </c>
      <c r="O62" s="191">
        <f>SUMIFS(客户表!Z:Z,客户表!J:J,A62,客户表!A:A,E62,客户表!N:N,F62)</f>
        <v>1460959.0518110527</v>
      </c>
      <c r="P62" s="205"/>
      <c r="Q62" s="194">
        <f>(O62-G62+J62)/1.06</f>
        <v>1759.0087840120382</v>
      </c>
      <c r="R62" s="194">
        <f>Q62-(P62/1.06)</f>
        <v>1759.0087840120382</v>
      </c>
      <c r="S62" s="195">
        <f>IFERROR(R62/O62,"-")</f>
        <v>1.2040096413595666E-3</v>
      </c>
      <c r="T62" s="196"/>
      <c r="U62" s="196" t="s">
        <v>3</v>
      </c>
    </row>
    <row r="63" spans="1:21" hidden="1" x14ac:dyDescent="0.25">
      <c r="A63" s="206" t="s">
        <v>78</v>
      </c>
      <c r="B63" s="206" t="s">
        <v>78</v>
      </c>
      <c r="C63" s="206" t="s">
        <v>298</v>
      </c>
      <c r="D63" s="206" t="s">
        <v>326</v>
      </c>
      <c r="E63" s="188" t="s">
        <v>304</v>
      </c>
      <c r="F63" s="206" t="s">
        <v>201</v>
      </c>
      <c r="G63" s="189">
        <v>3800150</v>
      </c>
      <c r="H63" s="189">
        <v>3800150</v>
      </c>
      <c r="I63" s="220">
        <v>0.05</v>
      </c>
      <c r="J63" s="192">
        <f t="shared" si="23"/>
        <v>190007.5</v>
      </c>
      <c r="K63" s="189">
        <v>0</v>
      </c>
      <c r="L63" s="189"/>
      <c r="M63" s="192">
        <f t="shared" si="24"/>
        <v>190007.5</v>
      </c>
      <c r="N63" s="206" t="s">
        <v>321</v>
      </c>
      <c r="O63" s="191">
        <f>SUMIFS(客户表!Z:Z,客户表!J:J,A63,客户表!A:A,E63,客户表!N:N,F63)</f>
        <v>6890271.7943396233</v>
      </c>
      <c r="P63" s="205"/>
      <c r="Q63" s="194">
        <f>(O63-G63+J63)/1.06</f>
        <v>3094461.5984336068</v>
      </c>
      <c r="R63" s="194">
        <f>Q63-(P63/1.06)</f>
        <v>3094461.5984336068</v>
      </c>
      <c r="S63" s="195">
        <f>IFERROR(R63/O63,"-")</f>
        <v>0.44910588301839055</v>
      </c>
      <c r="T63" s="196"/>
      <c r="U63" s="196" t="s">
        <v>3</v>
      </c>
    </row>
    <row r="64" spans="1:21" hidden="1" x14ac:dyDescent="0.25">
      <c r="A64" s="206" t="s">
        <v>327</v>
      </c>
      <c r="B64" s="196" t="s">
        <v>203</v>
      </c>
      <c r="C64" s="206" t="s">
        <v>322</v>
      </c>
      <c r="D64" s="196" t="s">
        <v>322</v>
      </c>
      <c r="E64" s="188" t="s">
        <v>304</v>
      </c>
      <c r="F64" s="206" t="s">
        <v>86</v>
      </c>
      <c r="G64" s="189">
        <v>151100.51</v>
      </c>
      <c r="H64" s="189">
        <v>151100.51</v>
      </c>
      <c r="I64" s="190">
        <v>0</v>
      </c>
      <c r="J64" s="192">
        <f t="shared" si="23"/>
        <v>0</v>
      </c>
      <c r="K64" s="189">
        <v>0</v>
      </c>
      <c r="L64" s="189"/>
      <c r="M64" s="192">
        <f t="shared" si="24"/>
        <v>0</v>
      </c>
      <c r="N64" s="206" t="s">
        <v>81</v>
      </c>
      <c r="O64" s="191">
        <f>SUMIFS(客户表!Z:Z,客户表!J:J,A64,客户表!A:A,E64,客户表!N:N,F64)</f>
        <v>0</v>
      </c>
      <c r="P64" s="205"/>
      <c r="Q64" s="194">
        <f>(O64-G64+J64)/1.06</f>
        <v>-142547.65094339623</v>
      </c>
      <c r="R64" s="194">
        <f>Q64-(P64/1.06)</f>
        <v>-142547.65094339623</v>
      </c>
      <c r="S64" s="195" t="str">
        <f>IFERROR(R64/O64,"-")</f>
        <v>-</v>
      </c>
      <c r="T64" s="196"/>
      <c r="U64" s="196" t="s">
        <v>3</v>
      </c>
    </row>
  </sheetData>
  <autoFilter ref="A1:U64" xr:uid="{00000000-0009-0000-0000-000002000000}">
    <filterColumn colId="1">
      <filters>
        <filter val="百度"/>
      </filters>
    </filterColumn>
    <filterColumn colId="5">
      <filters>
        <filter val="CPC"/>
      </filters>
    </filterColumn>
  </autoFilter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董雪娇</cp:lastModifiedBy>
  <dcterms:created xsi:type="dcterms:W3CDTF">2020-02-05T04:16:00Z</dcterms:created>
  <dcterms:modified xsi:type="dcterms:W3CDTF">2020-12-01T04:13:16Z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