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30"/>
  </bookViews>
  <sheets>
    <sheet name="客户表" sheetId="1" r:id="rId1"/>
    <sheet name="媒体表" sheetId="2" r:id="rId2"/>
  </sheets>
  <externalReferences>
    <externalReference r:id="rId3"/>
  </externalReferences>
  <calcPr calcId="144525"/>
</workbook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去掉期初余额、返货</t>
        </r>
      </text>
    </comment>
    <comment ref="H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去掉返货，包含期初余额</t>
        </r>
      </text>
    </comment>
    <comment ref="I1" authorId="0">
      <text>
        <r>
          <rPr>
            <b/>
            <sz val="9"/>
            <rFont val="宋体"/>
            <charset val="134"/>
          </rPr>
          <t>以百分比的形式填写</t>
        </r>
      </text>
    </comment>
    <comment ref="K2" authorId="1">
      <text>
        <r>
          <rPr>
            <b/>
            <sz val="9"/>
            <rFont val="宋体"/>
            <charset val="134"/>
          </rPr>
          <t>2019年11月返点</t>
        </r>
      </text>
    </comment>
    <comment ref="K3" authorId="1">
      <text>
        <r>
          <rPr>
            <b/>
            <sz val="9"/>
            <rFont val="宋体"/>
            <charset val="134"/>
          </rPr>
          <t>2019年Q3返点</t>
        </r>
      </text>
    </comment>
    <comment ref="K7" authorId="1">
      <text>
        <r>
          <rPr>
            <b/>
            <sz val="9"/>
            <rFont val="宋体"/>
            <charset val="134"/>
          </rPr>
          <t>2019年Q4返点</t>
        </r>
      </text>
    </comment>
    <comment ref="Q7" authorId="1">
      <text>
        <r>
          <rPr>
            <sz val="9"/>
            <rFont val="宋体"/>
            <charset val="134"/>
          </rPr>
          <t>已返都放在了CPD</t>
        </r>
      </text>
    </comment>
    <comment ref="K14" authorId="1">
      <text>
        <r>
          <rPr>
            <b/>
            <sz val="9"/>
            <rFont val="宋体"/>
            <charset val="134"/>
          </rPr>
          <t>2019年12月&amp;Q4额外</t>
        </r>
      </text>
    </comment>
    <comment ref="K16" authorId="1">
      <text>
        <r>
          <rPr>
            <b/>
            <sz val="9"/>
            <rFont val="宋体"/>
            <charset val="134"/>
          </rPr>
          <t>2019年Q4&amp;年度复核补差</t>
        </r>
      </text>
    </comment>
    <comment ref="Q23" authorId="1">
      <text>
        <r>
          <rPr>
            <sz val="9"/>
            <rFont val="宋体"/>
            <charset val="134"/>
          </rPr>
          <t>赠送</t>
        </r>
      </text>
    </comment>
    <comment ref="M47" authorId="1">
      <text>
        <r>
          <rPr>
            <sz val="9"/>
            <rFont val="宋体"/>
            <charset val="134"/>
          </rPr>
          <t>折现抵回款</t>
        </r>
      </text>
    </comment>
    <comment ref="K55" authorId="1">
      <text>
        <r>
          <rPr>
            <b/>
            <sz val="9"/>
            <rFont val="宋体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<sst xmlns="http://schemas.openxmlformats.org/spreadsheetml/2006/main" count="38338" uniqueCount="3315">
  <si>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</si>
  <si>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</si>
  <si>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</si>
  <si>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</si>
  <si>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</si>
  <si>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</si>
  <si>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</si>
  <si>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</si>
  <si>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</si>
  <si>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</si>
  <si>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</si>
  <si>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</si>
  <si>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</si>
  <si>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</si>
  <si>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</si>
  <si>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</si>
  <si>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</si>
  <si>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</si>
  <si>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</si>
  <si>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</si>
  <si>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</si>
  <si>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</si>
  <si>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</si>
  <si>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</si>
  <si>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</si>
  <si>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</si>
  <si>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</si>
  <si>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</si>
  <si>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</si>
  <si>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</si>
  <si>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</si>
  <si>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</si>
  <si>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</si>
  <si>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</si>
  <si>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</si>
  <si>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</si>
  <si>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</si>
  <si>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</si>
  <si>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</si>
  <si>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</si>
  <si>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</si>
  <si>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</si>
  <si>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</si>
  <si>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</si>
  <si>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</si>
  <si>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</si>
  <si>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</si>
  <si>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</si>
  <si>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</si>
  <si>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</si>
  <si>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</si>
  <si>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</si>
  <si>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</si>
  <si>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</si>
  <si>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</si>
  <si>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</si>
  <si>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</si>
  <si>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</si>
  <si>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</si>
  <si>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</si>
  <si>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</si>
  <si>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</si>
  <si>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</si>
  <si>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</si>
  <si>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</si>
  <si>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</si>
  <si>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</si>
  <si>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</si>
  <si>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</si>
  <si>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</si>
  <si>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</si>
  <si>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</si>
  <si>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</si>
  <si>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</si>
  <si>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</si>
  <si>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</si>
  <si>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</si>
  <si>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</si>
  <si>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</si>
  <si>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</si>
  <si>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</si>
  <si>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</si>
  <si>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</si>
  <si>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</si>
  <si>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</si>
  <si>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</si>
  <si>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</si>
  <si>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</si>
  <si>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</si>
  <si>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</si>
  <si>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</si>
  <si>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</si>
  <si>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</si>
  <si>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</si>
  <si>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</si>
  <si>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</si>
  <si>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</si>
  <si>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</si>
  <si>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</si>
  <si>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</si>
  <si>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</si>
  <si>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</si>
  <si>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</si>
  <si>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</si>
  <si>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</si>
  <si>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</si>
  <si>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</si>
  <si>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</si>
  <si>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</si>
  <si>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</si>
  <si>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</si>
  <si>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</si>
  <si>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</si>
  <si>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</si>
  <si>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</si>
  <si>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</si>
  <si>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</si>
  <si>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</si>
  <si>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</si>
  <si>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</si>
  <si>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</si>
  <si>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</si>
  <si>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</si>
  <si>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</si>
  <si>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</si>
  <si>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</si>
  <si>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</si>
  <si>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</si>
  <si>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</si>
  <si>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</si>
  <si>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</si>
  <si>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</si>
  <si>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</si>
  <si>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</si>
  <si>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</si>
  <si>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</si>
  <si>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</si>
  <si>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</si>
  <si>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</si>
  <si>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</si>
  <si>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</si>
  <si>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</si>
  <si>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</si>
  <si>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</si>
  <si>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</si>
  <si>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</si>
  <si>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</si>
  <si>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</si>
  <si>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</si>
  <si>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</si>
  <si>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</si>
  <si>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</si>
  <si>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</si>
  <si>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</si>
  <si>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</si>
  <si>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</si>
  <si>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</si>
  <si>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</si>
  <si>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</si>
  <si>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</si>
  <si>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</si>
  <si>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</si>
  <si>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</si>
  <si>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</si>
  <si>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</si>
  <si>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</si>
  <si>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</si>
  <si>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</si>
  <si>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</si>
  <si>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</si>
  <si>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</si>
  <si>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</si>
  <si>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</si>
  <si>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</si>
  <si>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</si>
  <si>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</si>
  <si>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</si>
  <si>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</si>
  <si>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</si>
  <si>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</si>
  <si>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</si>
  <si>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</si>
  <si>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</si>
  <si>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</si>
  <si>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</si>
  <si>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</si>
  <si>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</si>
  <si>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</si>
  <si>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</si>
  <si>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</si>
  <si>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</si>
  <si>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</si>
  <si>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</si>
  <si>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</si>
  <si>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</si>
  <si>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</si>
  <si>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</si>
  <si>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</si>
  <si>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</si>
  <si>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</si>
  <si>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</si>
  <si>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</si>
  <si>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</si>
  <si>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</si>
  <si>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</si>
  <si>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</si>
  <si>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</si>
  <si>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</si>
  <si>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</si>
  <si>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</si>
  <si>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</si>
  <si>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</si>
  <si>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</si>
  <si>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</si>
  <si>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</si>
  <si>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</si>
  <si>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</si>
  <si>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</si>
  <si>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</si>
  <si>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</si>
  <si>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</si>
  <si>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</si>
  <si>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</si>
  <si>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</si>
  <si>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</si>
  <si>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</si>
  <si>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</si>
  <si>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</si>
  <si>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</si>
  <si>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</si>
  <si>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</si>
  <si>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</si>
  <si>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</si>
  <si>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</si>
  <si>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</si>
  <si>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</si>
  <si>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</si>
  <si>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</si>
  <si>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</si>
  <si>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</si>
  <si>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</si>
  <si>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</si>
  <si>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</si>
  <si>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</si>
  <si>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</si>
  <si>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</si>
  <si>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</si>
  <si>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</si>
  <si>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</si>
  <si>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</si>
  <si>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</si>
  <si>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</si>
  <si>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</si>
  <si>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</si>
  <si>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</si>
  <si>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</si>
  <si>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</si>
  <si>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</si>
  <si>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</si>
  <si>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</si>
  <si>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</si>
  <si>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</si>
  <si>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</si>
  <si>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</si>
  <si>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</si>
  <si>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</si>
  <si>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</si>
  <si>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</si>
  <si>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</si>
  <si>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</si>
  <si>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</si>
  <si>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</si>
  <si>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</si>
  <si>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</si>
  <si>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</si>
  <si>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</si>
  <si>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</si>
  <si>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</si>
  <si>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</si>
  <si>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</si>
  <si>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</si>
  <si>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</si>
  <si>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</si>
  <si>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</si>
  <si>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</si>
  <si>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</si>
  <si>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</si>
  <si>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</si>
  <si>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</si>
  <si>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</si>
  <si>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</si>
  <si>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</si>
  <si>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</si>
  <si>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</si>
  <si>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</si>
  <si>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</si>
  <si>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</si>
  <si>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</si>
  <si>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</si>
  <si>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</si>
  <si>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</si>
  <si>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</si>
  <si>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</si>
  <si>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</si>
  <si>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</si>
  <si>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</si>
  <si>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</si>
  <si>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</si>
  <si>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</si>
  <si>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</si>
  <si>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</si>
  <si>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</si>
  <si>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</si>
  <si>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</si>
  <si>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</si>
  <si>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</si>
  <si>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</si>
  <si>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</si>
  <si>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</si>
  <si>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</si>
  <si>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</si>
  <si>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</si>
  <si>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</si>
  <si>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</si>
  <si>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</si>
  <si>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</si>
  <si>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</si>
  <si>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</si>
  <si>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</si>
  <si>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</si>
  <si>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</si>
  <si>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</si>
  <si>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</si>
  <si>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</si>
  <si>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</si>
  <si>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</si>
  <si>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</si>
  <si>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</si>
  <si>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</si>
  <si>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</si>
  <si>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</si>
  <si>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</si>
  <si>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</si>
  <si>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</si>
  <si>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</si>
  <si>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</si>
  <si>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</si>
  <si>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</si>
  <si>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</si>
  <si>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</si>
  <si>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</si>
  <si>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</si>
  <si>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</si>
  <si>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</si>
  <si>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</si>
  <si>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</si>
  <si>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</si>
  <si>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</si>
  <si>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</si>
  <si>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</si>
  <si>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</si>
  <si>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</si>
  <si>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</si>
  <si>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</si>
  <si>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</si>
  <si>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</si>
  <si>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</si>
  <si>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</si>
  <si>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</si>
  <si>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</si>
  <si>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</si>
  <si>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</si>
  <si>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</si>
  <si>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</si>
  <si>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</si>
  <si>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</si>
  <si>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</si>
  <si>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</si>
  <si>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</si>
  <si>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</si>
  <si>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</si>
  <si>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</si>
  <si>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</si>
  <si>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</si>
  <si>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</si>
  <si>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</si>
  <si>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</si>
  <si>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</si>
  <si>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</si>
  <si>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</si>
  <si>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</si>
  <si>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</si>
  <si>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</si>
  <si>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</si>
  <si>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</si>
  <si>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</si>
  <si>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</si>
  <si>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</si>
  <si>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</si>
  <si>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</si>
  <si>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</si>
  <si>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</si>
  <si>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</si>
  <si>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</si>
  <si>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</si>
  <si>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</si>
  <si>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</si>
  <si>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</si>
  <si>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</si>
  <si>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</si>
  <si>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</si>
  <si>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</si>
  <si>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</si>
  <si>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</si>
  <si>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</si>
  <si>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</si>
  <si>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</si>
  <si>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</si>
  <si>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</si>
  <si>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</si>
  <si>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</si>
  <si>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</si>
  <si>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</si>
  <si>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</si>
  <si>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</si>
  <si>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</si>
  <si>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</si>
  <si>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</si>
  <si>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</si>
  <si>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</si>
  <si>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</si>
  <si>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</si>
  <si>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</si>
  <si>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</si>
  <si>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</si>
  <si>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</si>
  <si>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</si>
  <si>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</si>
  <si>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</si>
  <si>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</si>
  <si>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</si>
  <si>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</si>
  <si>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</si>
  <si>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</si>
  <si>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</si>
  <si>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</si>
  <si>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</si>
  <si>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</si>
  <si>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</si>
  <si>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</si>
  <si>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</si>
  <si>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</si>
  <si>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</si>
  <si>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</si>
  <si>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</si>
  <si>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</si>
  <si>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</si>
  <si>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</si>
  <si>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</si>
  <si>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</si>
  <si>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</si>
  <si>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</si>
  <si>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</si>
  <si>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</si>
  <si>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</si>
  <si>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</si>
  <si>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</si>
  <si>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</si>
  <si>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</si>
  <si>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</si>
  <si>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</si>
  <si>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</si>
  <si>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</si>
  <si>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</si>
  <si>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</si>
  <si>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</si>
  <si>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</si>
  <si>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</si>
  <si>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</si>
  <si>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</si>
  <si>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</si>
  <si>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</si>
  <si>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</si>
  <si>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</si>
  <si>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</si>
  <si>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</si>
  <si>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</si>
  <si>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</si>
  <si>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</si>
  <si>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</si>
  <si>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</si>
  <si>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</si>
  <si>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</si>
  <si>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</si>
  <si>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</si>
  <si>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</si>
  <si>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</si>
  <si>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</si>
  <si>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</si>
  <si>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</si>
  <si>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</si>
  <si>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</si>
  <si>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</si>
  <si>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</si>
  <si>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</si>
  <si>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</si>
  <si>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</si>
  <si>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</si>
  <si>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</si>
  <si>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</si>
  <si>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</si>
  <si>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</si>
  <si>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</si>
  <si>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</si>
  <si>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</si>
  <si>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</si>
  <si>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</si>
  <si>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</si>
  <si>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</si>
  <si>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</si>
  <si>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</si>
  <si>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</si>
  <si>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</si>
  <si>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</si>
  <si>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</si>
  <si>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</si>
  <si>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</si>
  <si>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</si>
  <si>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</si>
  <si>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</si>
  <si>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</si>
  <si>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</si>
  <si>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</si>
  <si>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</si>
  <si>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</si>
  <si>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</si>
  <si>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</si>
  <si>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</si>
  <si>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</si>
  <si>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</si>
  <si>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</si>
  <si>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</si>
  <si>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</si>
  <si>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</si>
  <si>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</si>
  <si>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</si>
  <si>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</si>
  <si>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</si>
  <si>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</si>
  <si>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</si>
  <si>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</si>
  <si>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</si>
  <si>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</si>
  <si>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</si>
  <si>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</si>
  <si>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</si>
  <si>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</si>
  <si>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</si>
  <si>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</si>
  <si>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</si>
  <si>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</si>
  <si>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</si>
  <si>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</si>
  <si>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</si>
  <si>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</si>
  <si>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</si>
  <si>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</si>
  <si>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</si>
  <si>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</si>
  <si>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</si>
  <si>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</si>
  <si>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</si>
  <si>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</si>
  <si>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</si>
  <si>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</si>
  <si>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</si>
  <si>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</si>
  <si>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</si>
  <si>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</si>
  <si>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</si>
  <si>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</si>
  <si>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</si>
  <si>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</si>
  <si>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</si>
  <si>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</si>
  <si>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</si>
  <si>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</si>
  <si>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</si>
  <si>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</si>
  <si>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</si>
  <si>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</si>
  <si>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</si>
  <si>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</si>
  <si>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</si>
  <si>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</si>
  <si>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</si>
  <si>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</si>
  <si>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</si>
  <si>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</si>
  <si>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</si>
  <si>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</si>
  <si>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</si>
  <si>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</si>
  <si>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</si>
  <si>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</si>
  <si>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</si>
  <si>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</si>
  <si>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</si>
  <si>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</si>
  <si>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</si>
  <si>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</si>
  <si>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</si>
  <si>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</si>
  <si>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</si>
  <si>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</si>
  <si>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</si>
  <si>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</si>
  <si>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</si>
  <si>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</si>
  <si>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</si>
  <si>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</si>
  <si>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</si>
  <si>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</si>
  <si>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</si>
  <si>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</si>
  <si>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</si>
  <si>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</si>
  <si>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</si>
  <si>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</si>
  <si>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</si>
  <si>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</si>
  <si>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</si>
  <si>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</si>
  <si>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</si>
  <si>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</si>
  <si>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</si>
  <si>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</si>
  <si>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</si>
  <si>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</si>
  <si>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</si>
  <si>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</si>
  <si>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</si>
  <si>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</si>
  <si>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</si>
  <si>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</si>
  <si>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</si>
  <si>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</si>
  <si>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</si>
  <si>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</si>
  <si>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</si>
  <si>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</si>
  <si>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</si>
  <si>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</si>
  <si>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</si>
  <si>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</si>
  <si>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</si>
  <si>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</si>
  <si>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</si>
  <si>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</si>
  <si>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</si>
  <si>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</si>
  <si>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</si>
  <si>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</si>
  <si>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</si>
  <si>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</si>
  <si>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</si>
  <si>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</si>
  <si>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</si>
  <si>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</si>
  <si>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</si>
  <si>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</si>
  <si>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</si>
  <si>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</si>
  <si>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</si>
  <si>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</si>
  <si>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</si>
  <si>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</si>
  <si>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</si>
  <si>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</si>
  <si>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</si>
  <si>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</si>
  <si>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</si>
  <si>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</si>
  <si>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</si>
  <si>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</si>
  <si>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</si>
  <si>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</si>
  <si>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</si>
  <si>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</si>
  <si>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</si>
  <si>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</si>
  <si>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</si>
  <si>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</si>
  <si>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</si>
  <si>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</si>
  <si>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</si>
  <si>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</si>
  <si>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</si>
  <si>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</si>
  <si>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</si>
  <si>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</si>
  <si>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</si>
  <si>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</si>
  <si>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</si>
  <si>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</si>
  <si>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</si>
  <si>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</si>
  <si>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</si>
  <si>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</si>
  <si>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</si>
  <si>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</si>
  <si>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</si>
  <si>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</si>
  <si>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</si>
  <si>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</si>
  <si>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</si>
  <si>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</si>
  <si>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</si>
  <si>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</si>
  <si>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</si>
  <si>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</si>
  <si>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</si>
  <si>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</si>
  <si>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</si>
  <si>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</si>
  <si>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</si>
  <si>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</si>
  <si>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</si>
  <si>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</si>
  <si>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</si>
  <si>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</si>
  <si>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</si>
  <si>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</si>
  <si>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</si>
  <si>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</si>
  <si>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</si>
  <si>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</si>
  <si>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</si>
  <si>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</si>
  <si>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</si>
  <si>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</si>
  <si>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</si>
  <si>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</si>
  <si>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</si>
  <si>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</si>
  <si>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</si>
  <si>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</si>
  <si>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</si>
  <si>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</si>
  <si>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</si>
  <si>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</si>
  <si>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</si>
  <si>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</si>
  <si>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</si>
  <si>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</si>
  <si>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</si>
  <si>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</si>
  <si>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</si>
  <si>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</si>
  <si>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</si>
  <si>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</si>
  <si>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</si>
  <si>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</si>
  <si>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</si>
  <si>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</si>
  <si>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</si>
  <si>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</si>
  <si>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</si>
  <si>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</si>
  <si>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</si>
  <si>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</si>
  <si>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</si>
  <si>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</si>
  <si>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</si>
  <si>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</si>
  <si>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</si>
  <si>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</si>
  <si>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</si>
  <si>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</si>
  <si>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</si>
  <si>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</si>
  <si>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</si>
  <si>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</si>
  <si>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</si>
  <si>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</si>
  <si>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</si>
  <si>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</si>
  <si>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</si>
  <si>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</si>
  <si>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</si>
  <si>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</si>
  <si>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</si>
  <si>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</si>
  <si>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</si>
  <si>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</si>
  <si>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</si>
  <si>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</si>
  <si>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</si>
  <si>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</si>
  <si>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</si>
  <si>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</si>
  <si>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</si>
  <si>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</si>
  <si>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</si>
  <si>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</si>
  <si>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</si>
  <si>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</si>
  <si>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</si>
  <si>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</si>
  <si>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</si>
  <si>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</si>
  <si>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</si>
  <si>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</si>
  <si>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</si>
  <si>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</si>
  <si>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</si>
  <si>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</si>
  <si>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</si>
  <si>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</si>
  <si>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</si>
  <si>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</si>
  <si>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</si>
  <si>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</si>
  <si>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</si>
  <si>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</si>
  <si>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</si>
  <si>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</si>
  <si>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</si>
  <si>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</si>
  <si>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</si>
  <si>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</si>
  <si>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</si>
  <si>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</si>
  <si>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</si>
  <si>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</si>
  <si>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</si>
  <si>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</si>
  <si>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</si>
  <si>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</si>
  <si>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</si>
  <si>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</si>
  <si>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</si>
  <si>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</si>
  <si>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</si>
  <si>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</si>
  <si>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</si>
  <si>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</si>
  <si>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</si>
  <si>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</si>
  <si>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</si>
  <si>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</si>
  <si>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</si>
  <si>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</si>
  <si>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</si>
  <si>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</si>
  <si>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</si>
  <si>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</si>
  <si>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</si>
  <si>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</si>
  <si>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</si>
  <si>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</si>
  <si>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</si>
  <si>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</si>
  <si>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</si>
  <si>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</si>
  <si>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</si>
  <si>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</si>
  <si>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</si>
  <si>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</si>
  <si>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</si>
  <si>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</si>
  <si>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</si>
  <si>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</si>
  <si>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</si>
  <si>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</si>
  <si>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</si>
  <si>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</si>
  <si>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</si>
  <si>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</si>
  <si>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</si>
  <si>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</si>
  <si>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</si>
  <si>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</si>
  <si>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</si>
  <si>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</si>
  <si>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</si>
  <si>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</si>
  <si>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</si>
  <si>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</si>
  <si>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</si>
  <si>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</si>
  <si>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</si>
  <si>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</si>
  <si>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</si>
  <si>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</si>
  <si>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</si>
  <si>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</si>
  <si>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</si>
  <si>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</si>
  <si>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</si>
  <si>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</si>
  <si>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</si>
  <si>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</si>
  <si>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</si>
  <si>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</si>
  <si>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</si>
  <si>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</si>
  <si>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</si>
  <si>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</si>
  <si>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</si>
  <si>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</si>
  <si>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</si>
  <si>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</si>
  <si>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</si>
  <si>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</si>
  <si>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</si>
  <si>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</si>
  <si>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</si>
  <si>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</si>
  <si>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</si>
  <si>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</si>
  <si>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</si>
  <si>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</si>
  <si>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</si>
  <si>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</si>
  <si>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</si>
  <si>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</si>
  <si>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</si>
  <si>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</si>
  <si>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</si>
  <si>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</si>
  <si>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</si>
  <si>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</si>
  <si>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</si>
  <si>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</si>
  <si>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</si>
  <si>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</si>
  <si>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</si>
  <si>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</si>
  <si>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</si>
  <si>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</si>
  <si>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</si>
  <si>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</si>
  <si>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</si>
  <si>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</si>
  <si>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</si>
  <si>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</si>
  <si>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</si>
  <si>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</si>
  <si>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</si>
  <si>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</si>
  <si>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</si>
  <si>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</si>
  <si>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</si>
  <si>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</si>
  <si>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</si>
  <si>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</si>
  <si>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</si>
  <si>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</si>
  <si>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</si>
  <si>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</si>
  <si>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</si>
  <si>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</si>
  <si>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</si>
  <si>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</si>
  <si>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</si>
  <si>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</si>
  <si>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</si>
  <si>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</si>
  <si>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</si>
  <si>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</si>
  <si>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</si>
  <si>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</si>
  <si>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</si>
  <si>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</si>
  <si>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</si>
  <si>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</si>
  <si>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</si>
  <si>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</si>
  <si>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</si>
  <si>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</si>
  <si>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</si>
  <si>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</si>
  <si>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</si>
  <si>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</si>
  <si>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</si>
  <si>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</si>
  <si>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</si>
  <si>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</si>
  <si>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</si>
  <si>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</si>
  <si>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</si>
  <si>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</si>
  <si>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</si>
  <si>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</si>
  <si>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</si>
  <si>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</si>
  <si>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</si>
  <si>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</si>
  <si>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</si>
  <si>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</si>
  <si>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</si>
  <si>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</si>
  <si>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</si>
  <si>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</si>
  <si>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</si>
  <si>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</si>
  <si>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</si>
  <si>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</si>
  <si>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</si>
  <si>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</si>
  <si>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</si>
  <si>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</si>
  <si>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</si>
  <si>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</si>
  <si>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</si>
  <si>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</si>
  <si>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</si>
  <si>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</si>
  <si>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</si>
  <si>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</si>
  <si>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</si>
  <si>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</si>
  <si>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</si>
  <si>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</si>
  <si>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</si>
  <si>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</si>
  <si>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</si>
  <si>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</si>
  <si>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</si>
  <si>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</si>
  <si>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</si>
  <si>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</si>
  <si>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</si>
  <si>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</si>
  <si>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</si>
  <si>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</si>
  <si>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</si>
  <si>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</si>
  <si>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</si>
  <si>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</si>
  <si>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</si>
  <si>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</si>
  <si>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</si>
  <si>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</si>
  <si>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</si>
  <si>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</si>
  <si>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</si>
  <si>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</si>
  <si>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</si>
  <si>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</si>
  <si>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</si>
  <si>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</si>
  <si>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</si>
  <si>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</si>
  <si>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</si>
  <si>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</si>
  <si>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</si>
  <si>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</si>
  <si>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</si>
  <si>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</si>
  <si>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</si>
  <si>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</si>
  <si>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</si>
  <si>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</si>
  <si>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</si>
  <si>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</si>
  <si>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</si>
  <si>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</si>
  <si>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</si>
  <si>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</si>
  <si>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</si>
  <si>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</si>
  <si>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</si>
  <si>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</si>
  <si>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</si>
  <si>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</si>
  <si>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</si>
  <si>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</si>
  <si>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</si>
  <si>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</si>
  <si>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</si>
  <si>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</si>
  <si>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</si>
  <si>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</si>
  <si>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</si>
  <si>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</si>
  <si>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</si>
  <si>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</si>
  <si>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</si>
  <si>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</si>
  <si>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</si>
  <si>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</si>
  <si>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</si>
  <si>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</si>
  <si>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</si>
  <si>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</si>
  <si>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</si>
  <si>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</si>
  <si>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</si>
  <si>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</si>
  <si>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</si>
  <si>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</si>
  <si>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</si>
  <si>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</si>
  <si>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</si>
  <si>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</si>
  <si>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</si>
  <si>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</si>
  <si>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</si>
  <si>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</si>
  <si>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</si>
  <si>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</si>
  <si>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</si>
  <si>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</si>
  <si>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</si>
  <si>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</si>
  <si>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</si>
  <si>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</si>
  <si>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</si>
  <si>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</si>
  <si>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</si>
  <si>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</si>
  <si>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</si>
  <si>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</si>
  <si>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</si>
  <si>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</si>
  <si>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</si>
  <si>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</si>
  <si>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</si>
  <si>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</si>
  <si>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</si>
  <si>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</si>
  <si>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</si>
  <si>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</si>
  <si>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</si>
  <si>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</si>
  <si>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</si>
  <si>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</si>
  <si>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</si>
  <si>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</si>
  <si>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</si>
  <si>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</si>
  <si>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</si>
  <si>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</si>
  <si>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</si>
  <si>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</si>
  <si>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</si>
  <si>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</si>
  <si>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</si>
  <si>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</si>
  <si>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</si>
  <si>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</si>
  <si>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</si>
  <si>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</si>
  <si>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</si>
  <si>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</si>
  <si>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</si>
  <si>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</si>
  <si>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</si>
  <si>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</si>
  <si>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</si>
  <si>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</si>
  <si>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</si>
  <si>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</si>
  <si>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</si>
  <si>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</si>
  <si>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</si>
  <si>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</si>
  <si>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</si>
  <si>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</si>
  <si>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</si>
  <si>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</si>
  <si>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</si>
  <si>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</si>
  <si>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</si>
  <si>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</si>
  <si>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</si>
  <si>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</si>
  <si>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</si>
  <si>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</si>
  <si>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</si>
  <si>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</si>
  <si>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</si>
  <si>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</si>
  <si>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</si>
  <si>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</si>
  <si>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</si>
  <si>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</si>
  <si>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</si>
  <si>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</si>
  <si>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</si>
  <si>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</si>
  <si>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</si>
  <si>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</si>
  <si>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</si>
  <si>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</si>
  <si>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</si>
  <si>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</si>
  <si>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</si>
  <si>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</si>
  <si>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</si>
  <si>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</si>
  <si>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</si>
  <si>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</si>
  <si>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</si>
  <si>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</si>
  <si>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</si>
  <si>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</si>
  <si>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</si>
  <si>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</si>
  <si>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</si>
  <si>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</si>
  <si>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</si>
  <si>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</si>
  <si>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</si>
  <si>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</si>
  <si>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</si>
  <si>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</si>
  <si>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</si>
  <si>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</si>
  <si>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</si>
  <si>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</si>
  <si>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</si>
  <si>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</si>
  <si>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</si>
  <si>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</si>
  <si>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</si>
  <si>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</si>
  <si>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</si>
  <si>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</si>
  <si>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</si>
  <si>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</si>
  <si>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</si>
  <si>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</si>
  <si>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</si>
  <si>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</si>
  <si>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</si>
  <si>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</si>
  <si>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</si>
  <si>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</si>
  <si>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</si>
  <si>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</si>
  <si>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</si>
  <si>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</si>
  <si>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</si>
  <si>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</si>
  <si>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</si>
  <si>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</si>
  <si>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</si>
  <si>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</si>
  <si>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</si>
  <si>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</si>
  <si>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</si>
  <si>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</si>
  <si>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</si>
  <si>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</si>
  <si>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</si>
  <si>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</si>
  <si>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</si>
  <si>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</si>
  <si>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</si>
  <si>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</si>
  <si>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</si>
  <si>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</si>
  <si>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</si>
  <si>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</si>
  <si>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</si>
  <si>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</si>
  <si>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</si>
  <si>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</si>
  <si>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</si>
  <si>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</si>
  <si>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</si>
  <si>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</si>
  <si>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</si>
  <si>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</si>
  <si>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</si>
  <si>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</si>
  <si>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</si>
  <si>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</si>
  <si>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</si>
  <si>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</si>
  <si>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</si>
  <si>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</si>
  <si>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</si>
  <si>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</si>
  <si>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</si>
  <si>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</si>
  <si>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</si>
  <si>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</si>
  <si>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</si>
  <si>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</si>
  <si>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</si>
  <si>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</si>
  <si>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</si>
  <si>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</si>
  <si>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</si>
  <si>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</si>
  <si>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</si>
  <si>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</si>
  <si>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</si>
  <si>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</si>
  <si>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</si>
  <si>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</si>
  <si>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</si>
  <si>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</si>
  <si>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</si>
  <si>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</si>
  <si>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</si>
  <si>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</si>
  <si>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</si>
  <si>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</si>
  <si>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</si>
  <si>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</si>
  <si>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</si>
  <si>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</si>
  <si>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</si>
  <si>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</si>
  <si>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</si>
  <si>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</si>
  <si>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</si>
  <si>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</si>
  <si>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</si>
  <si>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</si>
  <si>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</si>
  <si>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</si>
  <si>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</si>
  <si>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</si>
  <si>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</si>
  <si>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</si>
  <si>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</si>
  <si>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</si>
  <si>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</si>
  <si>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</si>
  <si>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</si>
  <si>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</si>
  <si>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</si>
  <si>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</si>
  <si>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</si>
  <si>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</si>
  <si>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</si>
  <si>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</si>
  <si>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</si>
  <si>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</si>
  <si>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</si>
  <si>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</si>
  <si>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</si>
  <si>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</si>
  <si>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</si>
  <si>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</si>
  <si>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</si>
  <si>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</si>
  <si>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</si>
  <si>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</si>
  <si>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</si>
  <si>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</si>
  <si>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</si>
  <si>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</si>
  <si>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</si>
  <si>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</si>
  <si>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</si>
  <si>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</si>
  <si>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</si>
  <si>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</si>
  <si>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</si>
  <si>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</si>
  <si>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</si>
  <si>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</si>
  <si>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</si>
  <si>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</si>
  <si>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</si>
  <si>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</si>
  <si>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</si>
  <si>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</si>
  <si>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</si>
  <si>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</si>
  <si>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</si>
  <si>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</si>
  <si>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</si>
  <si>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</si>
  <si>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</si>
  <si>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</si>
  <si>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</si>
  <si>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</si>
  <si>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</si>
  <si>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</si>
  <si>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</si>
  <si>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</si>
  <si>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</si>
  <si>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</si>
  <si>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</si>
  <si>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</si>
  <si>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</si>
  <si>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</si>
  <si>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</si>
  <si>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</si>
  <si>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</si>
  <si>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</si>
  <si>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</si>
  <si>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</si>
  <si>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</si>
  <si>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</si>
  <si>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</si>
  <si>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</si>
  <si>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</si>
  <si>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</si>
  <si>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</si>
  <si>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</si>
  <si>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</si>
  <si>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</si>
  <si>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</si>
  <si>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</si>
  <si>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</si>
  <si>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</si>
  <si>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</si>
  <si>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</si>
  <si>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</si>
  <si>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</si>
  <si>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</si>
  <si>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</si>
  <si>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</si>
  <si>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</si>
  <si>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</si>
  <si>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</si>
  <si>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</si>
  <si>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</si>
  <si>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</si>
  <si>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</si>
  <si>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</si>
  <si>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</si>
  <si>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</si>
  <si>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</si>
  <si>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</si>
  <si>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</si>
  <si>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</si>
  <si>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</si>
  <si>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</si>
  <si>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</si>
  <si>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</si>
  <si>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</si>
  <si>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</si>
  <si>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</si>
  <si>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</si>
  <si>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</si>
  <si>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</si>
  <si>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</si>
  <si>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</si>
  <si>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</si>
  <si>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</si>
  <si>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</si>
  <si>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</si>
  <si>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</si>
  <si>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</si>
  <si>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</si>
  <si>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</si>
  <si>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</si>
  <si>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</si>
  <si>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</si>
  <si>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</si>
  <si>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</si>
  <si>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</si>
  <si>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</si>
  <si>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</si>
  <si>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</si>
  <si>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</si>
  <si>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</si>
  <si>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</si>
  <si>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</si>
  <si>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</si>
  <si>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</si>
  <si>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</si>
  <si>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</si>
  <si>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</si>
  <si>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</si>
  <si>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</si>
  <si>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</si>
  <si>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</si>
  <si>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</si>
  <si>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</si>
  <si>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</si>
  <si>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</si>
  <si>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</si>
  <si>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</si>
  <si>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</si>
  <si>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</si>
  <si>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</si>
  <si>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</si>
  <si>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</si>
  <si>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</si>
  <si>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</si>
  <si>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</si>
  <si>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</si>
  <si>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</si>
  <si>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</si>
  <si>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</si>
  <si>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</si>
  <si>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</si>
  <si>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</si>
  <si>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</si>
  <si>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</si>
  <si>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</si>
  <si>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</si>
  <si>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</si>
  <si>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</si>
  <si>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</si>
  <si>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</si>
  <si>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</si>
  <si>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</si>
  <si>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</si>
  <si>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</si>
  <si>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</si>
  <si>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</si>
  <si>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</si>
  <si>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</si>
  <si>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</si>
  <si>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</si>
  <si>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</si>
  <si>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</si>
  <si>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</si>
  <si>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</si>
  <si>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</si>
  <si>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</si>
  <si>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</si>
  <si>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</si>
  <si>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</si>
  <si>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</si>
  <si>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</si>
  <si>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</si>
  <si>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</si>
  <si>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</si>
  <si>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</si>
  <si>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</si>
  <si>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</si>
  <si>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</si>
  <si>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</si>
  <si>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</si>
  <si>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</si>
  <si>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</si>
  <si>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</si>
  <si>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</si>
  <si>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</si>
  <si>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</si>
  <si>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</si>
  <si>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</si>
  <si>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</si>
  <si>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</si>
  <si>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</si>
  <si>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</si>
  <si>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</si>
  <si>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</si>
  <si>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</si>
  <si>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</si>
  <si>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</si>
  <si>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</si>
  <si>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</si>
  <si>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</si>
  <si>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</si>
  <si>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</si>
  <si>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</si>
  <si>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</si>
  <si>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</si>
  <si>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</si>
  <si>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</si>
  <si>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</si>
  <si>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</si>
  <si>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</si>
  <si>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</si>
  <si>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</si>
  <si>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</si>
  <si>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</si>
  <si>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</si>
  <si>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</si>
  <si>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</si>
  <si>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</si>
  <si>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</si>
  <si>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</si>
  <si>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</si>
  <si>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</si>
  <si>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</si>
  <si>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</si>
  <si>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</si>
  <si>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</si>
  <si>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</si>
  <si>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</si>
  <si>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</si>
  <si>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</si>
  <si>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</si>
  <si>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</si>
  <si>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</si>
  <si>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</si>
  <si>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</si>
  <si>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</si>
  <si>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</si>
  <si>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</si>
  <si>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</si>
  <si>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</si>
  <si>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</si>
  <si>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</si>
  <si>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</si>
  <si>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</si>
  <si>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</si>
  <si>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</si>
  <si>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</si>
  <si>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</si>
  <si>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</si>
  <si>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</si>
  <si>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</si>
  <si>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</si>
  <si>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</si>
  <si>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</si>
  <si>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</si>
  <si>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</si>
  <si>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</si>
  <si>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</si>
  <si>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</si>
  <si>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</si>
  <si>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</si>
  <si>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</si>
  <si>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</si>
  <si>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</si>
  <si>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</si>
  <si>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</si>
  <si>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</si>
  <si>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</si>
  <si>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</si>
  <si>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</si>
  <si>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</si>
  <si>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</si>
  <si>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</si>
  <si>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</si>
  <si>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</si>
  <si>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</si>
  <si>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</si>
  <si>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</si>
  <si>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</si>
  <si>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</si>
  <si>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</si>
  <si>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</si>
  <si>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</si>
  <si>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</si>
  <si>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</si>
  <si>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</si>
  <si>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</si>
  <si>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</si>
  <si>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</si>
  <si>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</si>
  <si>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</si>
  <si>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</si>
  <si>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</si>
  <si>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</si>
  <si>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</si>
  <si>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</si>
  <si>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</si>
  <si>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</si>
  <si>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</si>
  <si>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</si>
  <si>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</si>
  <si>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</si>
  <si>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</si>
  <si>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</si>
  <si>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</si>
  <si>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</si>
  <si>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</si>
  <si>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</si>
  <si>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</si>
  <si>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</si>
  <si>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</si>
  <si>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</si>
  <si>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</si>
  <si>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</si>
  <si>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</si>
  <si>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</si>
  <si>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</si>
  <si>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</si>
  <si>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</si>
  <si>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</si>
  <si>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</si>
  <si>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</si>
  <si>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</si>
  <si>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</si>
  <si>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</si>
  <si>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</si>
  <si>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</si>
  <si>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</si>
  <si>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</si>
  <si>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</si>
  <si>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</si>
  <si>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</si>
  <si>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</si>
  <si>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</si>
  <si>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</si>
  <si>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</si>
  <si>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</si>
  <si>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</si>
  <si>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</si>
  <si>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</si>
  <si>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</si>
  <si>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</si>
  <si>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</si>
  <si>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</si>
  <si>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</si>
  <si>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</si>
  <si>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</si>
  <si>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</si>
  <si>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</si>
  <si>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</si>
  <si>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</si>
  <si>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</si>
  <si>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</si>
  <si>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</si>
  <si>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</si>
  <si>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</si>
  <si>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</si>
  <si>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</si>
  <si>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</si>
  <si>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</si>
  <si>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</si>
  <si>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</si>
  <si>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</si>
  <si>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</si>
  <si>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</si>
  <si>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</si>
  <si>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</si>
  <si>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</si>
  <si>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</si>
  <si>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</si>
  <si>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</si>
  <si>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</si>
  <si>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</si>
  <si>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</si>
  <si>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</si>
  <si>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</si>
  <si>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</si>
  <si>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</si>
  <si>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</si>
  <si>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</si>
  <si>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</si>
  <si>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</si>
  <si>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</si>
  <si>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</si>
  <si>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</si>
  <si>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</si>
  <si>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</si>
  <si>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</si>
  <si>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</si>
  <si>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</si>
  <si>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</si>
  <si>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</si>
  <si>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</si>
  <si>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</si>
  <si>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</si>
  <si>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</si>
  <si>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</si>
  <si>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</si>
  <si>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</si>
  <si>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</si>
  <si>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</si>
  <si>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</si>
  <si>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</si>
  <si>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</si>
  <si>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</si>
  <si>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</si>
  <si>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</si>
  <si>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</si>
  <si>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</si>
  <si>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</si>
  <si>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</si>
  <si>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</si>
  <si>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</si>
  <si>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</si>
  <si>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</si>
  <si>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</si>
  <si>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</si>
  <si>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</si>
  <si>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</si>
  <si>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</si>
  <si>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</si>
  <si>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</si>
  <si>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</si>
  <si>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</si>
  <si>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</si>
  <si>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</si>
  <si>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</si>
  <si>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</si>
  <si>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</si>
  <si>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</si>
  <si>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</si>
  <si>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</si>
  <si>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</si>
  <si>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</si>
  <si>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</si>
  <si>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</si>
  <si>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</si>
  <si>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</si>
  <si>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</si>
  <si>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</si>
  <si>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</si>
  <si>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</si>
  <si>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</si>
  <si>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</si>
  <si>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</si>
  <si>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</si>
  <si>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</si>
  <si>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</si>
  <si>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</si>
  <si>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</si>
  <si>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</si>
  <si>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</si>
  <si>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</si>
  <si>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</si>
  <si>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</si>
  <si>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</si>
  <si>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</si>
  <si>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</si>
  <si>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</si>
  <si>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</si>
  <si>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</si>
  <si>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</si>
  <si>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</si>
  <si>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</si>
  <si>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</si>
  <si>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</si>
  <si>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</si>
  <si>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</si>
  <si>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</si>
  <si>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</si>
  <si>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</si>
  <si>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</si>
  <si>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</si>
  <si>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</si>
  <si>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</si>
  <si>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</si>
  <si>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</si>
  <si>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</si>
  <si>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</si>
  <si>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</si>
  <si>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</si>
  <si>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</si>
  <si>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</si>
  <si>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</si>
  <si>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</si>
  <si>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</si>
  <si>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</si>
  <si>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</si>
  <si>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</si>
  <si>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</si>
  <si>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</si>
  <si>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</si>
  <si>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</si>
  <si>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</si>
  <si>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</si>
  <si>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</si>
  <si>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</si>
  <si>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</si>
  <si>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</si>
  <si>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</si>
  <si>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</si>
  <si>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</si>
  <si>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</si>
  <si>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</si>
  <si>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</si>
  <si>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</si>
  <si>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</si>
  <si>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</si>
  <si>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</si>
  <si>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</si>
  <si>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</si>
  <si>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</si>
  <si>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</si>
  <si>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</si>
  <si>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</si>
  <si>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</si>
  <si>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</si>
  <si>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</si>
  <si>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</si>
  <si>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</si>
  <si>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</si>
  <si>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</si>
  <si>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</si>
  <si>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</si>
  <si>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</si>
  <si>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</si>
  <si>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</si>
  <si>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</si>
  <si>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</si>
  <si>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</si>
  <si>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</si>
  <si>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</si>
  <si>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</si>
  <si>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</si>
  <si>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</si>
  <si>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</si>
  <si>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</si>
  <si>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</si>
  <si>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</si>
  <si>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</si>
  <si>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</si>
  <si>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</si>
  <si>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</si>
  <si>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</si>
  <si>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</si>
  <si>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</si>
  <si>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</si>
  <si>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</si>
  <si>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</si>
  <si>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</si>
  <si>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</si>
  <si>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</si>
  <si>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</si>
  <si>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</si>
  <si>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</si>
  <si>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</si>
  <si>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</si>
  <si>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</si>
  <si>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</si>
  <si>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</si>
  <si>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</si>
  <si>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</si>
  <si>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</si>
  <si>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</si>
  <si>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</si>
  <si>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</si>
  <si>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</si>
  <si>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</si>
  <si>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</si>
  <si>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</si>
  <si>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</si>
  <si>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</si>
  <si>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</si>
  <si>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</si>
  <si>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</si>
  <si>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</si>
  <si>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</si>
  <si>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</si>
  <si>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</si>
  <si>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</si>
  <si>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</si>
  <si>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</si>
  <si>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</si>
  <si>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</si>
  <si>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</si>
  <si>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</si>
  <si>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</si>
  <si>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</si>
  <si>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</si>
  <si>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</si>
  <si>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</si>
  <si>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</si>
  <si>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</si>
  <si>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</si>
  <si>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</si>
  <si>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</si>
  <si>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</si>
  <si>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</si>
  <si>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</si>
  <si>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</si>
  <si>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</si>
  <si>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</si>
  <si>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</si>
  <si>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</si>
  <si>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</si>
  <si>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</si>
  <si>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</si>
  <si>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</si>
  <si>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</si>
  <si>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</si>
  <si>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</si>
  <si>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</si>
  <si>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</si>
  <si>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</si>
  <si>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</si>
  <si>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</si>
  <si>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</si>
  <si>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</si>
  <si>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</si>
  <si>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</si>
  <si>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</si>
  <si>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</si>
  <si>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</si>
  <si>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</si>
  <si>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</si>
  <si>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</si>
  <si>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</si>
  <si>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</si>
  <si>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</si>
  <si>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</si>
  <si>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</si>
  <si>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</si>
  <si>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</si>
  <si>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</si>
  <si>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</si>
  <si>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</si>
  <si>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</si>
  <si>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</si>
  <si>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</si>
  <si>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</si>
  <si>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</si>
  <si>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</si>
  <si>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</si>
  <si>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</si>
  <si>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</si>
  <si>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</si>
  <si>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</si>
  <si>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</si>
  <si>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</si>
  <si>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</si>
  <si>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</si>
  <si>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</si>
  <si>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</si>
  <si>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</si>
  <si>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</si>
  <si>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</si>
  <si>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</si>
  <si>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</si>
  <si>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</si>
  <si>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</si>
  <si>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</si>
  <si>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</si>
  <si>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</si>
  <si>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</si>
  <si>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</si>
  <si>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</si>
  <si>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</si>
  <si>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</si>
  <si>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</si>
  <si>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</si>
  <si>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</si>
  <si>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</si>
  <si>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</si>
  <si>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</si>
  <si>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</si>
  <si>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</si>
  <si>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</si>
  <si>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</si>
  <si>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</si>
  <si>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</si>
  <si>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</si>
  <si>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</si>
  <si>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</si>
  <si>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</si>
  <si>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</si>
  <si>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</si>
  <si>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</si>
  <si>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</si>
  <si>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</si>
  <si>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</si>
  <si>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</si>
  <si>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</si>
  <si>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</si>
  <si>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</si>
  <si>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</si>
  <si>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</si>
  <si>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</si>
  <si>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</si>
  <si>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</si>
  <si>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</si>
  <si>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</si>
  <si>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</si>
  <si>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</si>
  <si>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</si>
  <si>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</si>
  <si>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</si>
  <si>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</si>
  <si>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</si>
  <si>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</si>
  <si>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</si>
  <si>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</si>
  <si>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</si>
  <si>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</si>
  <si>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</si>
  <si>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</si>
  <si>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</si>
  <si>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</si>
  <si>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</si>
  <si>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</si>
  <si>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</si>
  <si>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</si>
  <si>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</si>
  <si>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</si>
  <si>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</si>
  <si>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</si>
  <si>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</si>
  <si>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</si>
  <si>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</si>
  <si>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</si>
  <si>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</si>
  <si>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</si>
  <si>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</si>
  <si>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</si>
  <si>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</si>
  <si>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</si>
  <si>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</si>
  <si>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</si>
  <si>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</si>
  <si>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</si>
  <si>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</si>
  <si>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</si>
  <si>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</si>
  <si>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</si>
  <si>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</si>
  <si>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</si>
  <si>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</si>
  <si>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</si>
  <si>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</si>
  <si>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</si>
  <si>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</si>
  <si>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</si>
  <si>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</si>
  <si>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</si>
  <si>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</si>
  <si>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</si>
  <si>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</si>
  <si>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</si>
  <si>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</si>
  <si>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</si>
  <si>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</si>
  <si>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</si>
  <si>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</si>
  <si>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</si>
  <si>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</si>
  <si>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</si>
  <si>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</si>
  <si>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</si>
  <si>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</si>
  <si>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</si>
  <si>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</si>
  <si>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</si>
  <si>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</si>
  <si>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</si>
  <si>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</si>
  <si>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</si>
  <si>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</si>
  <si>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</si>
  <si>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</si>
  <si>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</si>
  <si>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</si>
  <si>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</si>
  <si>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</si>
  <si>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</si>
  <si>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</si>
  <si>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</si>
  <si>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</si>
  <si>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</si>
  <si>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</si>
  <si>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</si>
  <si>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</si>
  <si>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</si>
  <si>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</si>
  <si>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</si>
  <si>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</si>
  <si>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</si>
  <si>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</si>
  <si>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</si>
  <si>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</si>
  <si>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</si>
  <si>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</si>
  <si>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</si>
  <si>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</si>
  <si>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</si>
  <si>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</si>
  <si>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</si>
  <si>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</si>
  <si>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</si>
  <si>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</si>
  <si>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</si>
  <si>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</si>
  <si>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</si>
  <si>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</si>
  <si>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</si>
  <si>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</si>
  <si>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</si>
  <si>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</si>
  <si>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</si>
  <si>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</si>
  <si>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</si>
  <si>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</si>
  <si>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</si>
  <si>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</si>
  <si>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</si>
  <si>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</si>
  <si>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</si>
  <si>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</si>
  <si>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</si>
  <si>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</si>
  <si>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</si>
  <si>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</si>
  <si>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</si>
  <si>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</si>
  <si>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</si>
  <si>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</si>
  <si>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</si>
  <si>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</si>
  <si>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</si>
  <si>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</si>
  <si>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</si>
  <si>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</si>
  <si>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</si>
  <si>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</si>
  <si>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</si>
  <si>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</si>
  <si>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</si>
  <si>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</si>
  <si>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</si>
  <si>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</si>
  <si>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</si>
  <si>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</si>
  <si>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</si>
  <si>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</si>
  <si>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</si>
  <si>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</si>
  <si>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</si>
  <si>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</si>
  <si>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</si>
  <si>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</si>
  <si>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</si>
  <si>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</si>
  <si>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</si>
  <si>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</si>
  <si>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</si>
  <si>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</si>
  <si>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</si>
  <si>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</si>
  <si>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</si>
  <si>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</si>
  <si>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</si>
  <si>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</si>
  <si>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</si>
  <si>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</si>
  <si>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</si>
  <si>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</si>
  <si>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</si>
  <si>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</si>
  <si>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</si>
  <si>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</si>
  <si>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</si>
  <si>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</si>
  <si>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</si>
  <si>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</si>
  <si>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</si>
  <si>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</si>
  <si>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</si>
  <si>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</si>
  <si>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</si>
  <si>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</si>
  <si>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</si>
  <si>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</si>
  <si>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</si>
  <si>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</si>
  <si>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</si>
  <si>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</si>
  <si>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</si>
  <si>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</si>
  <si>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</si>
  <si>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</si>
  <si>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</si>
  <si>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</si>
  <si>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</si>
  <si>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</si>
  <si>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</si>
  <si>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</si>
  <si>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</si>
  <si>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</si>
  <si>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</si>
  <si>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</si>
  <si>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</si>
  <si>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</si>
  <si>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</si>
  <si>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</si>
  <si>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</si>
  <si>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</si>
  <si>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</si>
  <si>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</si>
  <si>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</si>
  <si>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</si>
  <si>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</si>
  <si>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</si>
  <si>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</si>
  <si>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</si>
  <si>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</si>
  <si>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</si>
  <si>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</si>
  <si>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</si>
  <si>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</si>
  <si>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</si>
  <si>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</si>
  <si>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</si>
  <si>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</si>
  <si>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</si>
  <si>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</si>
  <si>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</si>
  <si>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</si>
  <si>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</si>
  <si>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</si>
  <si>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</si>
  <si>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</si>
  <si>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</si>
  <si>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</si>
  <si>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</si>
  <si>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</si>
  <si>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</si>
  <si>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</si>
  <si>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</si>
  <si>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</si>
  <si>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</si>
  <si>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</si>
  <si>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</si>
  <si>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</si>
  <si>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</si>
  <si>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</si>
  <si>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</si>
  <si>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</si>
  <si>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</si>
  <si>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</si>
  <si>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</si>
  <si>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</si>
  <si>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</si>
  <si>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</si>
  <si>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</si>
  <si>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</si>
  <si>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</si>
  <si>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</si>
  <si>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</si>
  <si>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</si>
  <si>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</si>
  <si>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</si>
  <si>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</si>
  <si>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</si>
  <si>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</si>
  <si>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</si>
  <si>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</si>
  <si>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</si>
  <si>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</si>
  <si>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</si>
  <si>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</si>
  <si>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</si>
  <si>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</si>
  <si>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</si>
  <si>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</si>
  <si>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</si>
  <si>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</si>
  <si>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</si>
  <si>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</si>
  <si>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</si>
  <si>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</si>
  <si>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</si>
  <si>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</si>
  <si>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</si>
  <si>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</si>
  <si>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</si>
  <si>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</si>
  <si>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</si>
  <si>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</si>
  <si>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</si>
  <si>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</si>
  <si>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</si>
  <si>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</si>
  <si>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</si>
  <si>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</si>
  <si>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</si>
  <si>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</si>
  <si>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</si>
  <si>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</si>
  <si>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</si>
  <si>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</si>
  <si>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</si>
  <si>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</si>
  <si>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</si>
  <si>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</si>
  <si>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</si>
  <si>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</si>
  <si>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</si>
  <si>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</si>
  <si>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</si>
  <si>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</si>
  <si>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</si>
  <si>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</si>
  <si>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</si>
  <si>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</si>
  <si>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</si>
  <si>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</si>
  <si>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</si>
  <si>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</si>
  <si>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</si>
  <si>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</si>
  <si>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</si>
  <si>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</si>
  <si>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</si>
  <si>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</si>
  <si>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</si>
  <si>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</si>
  <si>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</si>
  <si>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</si>
  <si>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</si>
  <si>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</si>
  <si>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</si>
  <si>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</si>
  <si>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</si>
  <si>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</si>
  <si>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</si>
  <si>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</si>
  <si>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</si>
  <si>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</si>
  <si>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</si>
  <si>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</si>
  <si>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</si>
  <si>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</si>
  <si>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</si>
  <si>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</si>
  <si>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</si>
  <si>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</si>
  <si>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</si>
  <si>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</si>
  <si>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</si>
  <si>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</si>
  <si>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</si>
  <si>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</si>
  <si>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</si>
  <si>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</si>
  <si>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</si>
  <si>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</si>
  <si>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</si>
  <si>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</si>
  <si>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</si>
  <si>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</si>
  <si>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</si>
  <si>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</si>
  <si>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</si>
  <si>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</si>
  <si>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</si>
  <si>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</si>
  <si>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</si>
  <si>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</si>
  <si>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</si>
  <si>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</si>
  <si>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</si>
  <si>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</si>
  <si>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</si>
  <si>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</si>
  <si>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</si>
  <si>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</si>
  <si>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</si>
  <si>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</si>
  <si>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</si>
  <si>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</si>
  <si>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</si>
  <si>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</si>
  <si>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</si>
  <si>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</si>
  <si>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</si>
  <si>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</si>
  <si>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</si>
  <si>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</si>
  <si>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</si>
  <si>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</si>
  <si>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</si>
  <si>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</si>
  <si>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</si>
  <si>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</si>
  <si>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</si>
  <si>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</si>
  <si>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</si>
  <si>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</si>
  <si>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</si>
  <si>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</si>
  <si>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</si>
  <si>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</si>
  <si>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</si>
  <si>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</si>
  <si>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</si>
  <si>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</si>
  <si>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</si>
  <si>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</si>
  <si>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</si>
  <si>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</si>
  <si>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</si>
  <si>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</si>
  <si>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</si>
  <si>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</si>
  <si>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</si>
  <si>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</si>
  <si>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</si>
  <si>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</si>
  <si>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</si>
  <si>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</si>
  <si>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</si>
  <si>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</si>
  <si>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</si>
  <si>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</si>
  <si>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</si>
  <si>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</si>
  <si>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</si>
  <si>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</si>
  <si>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</si>
  <si>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</si>
  <si>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</si>
  <si>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</si>
  <si>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</si>
  <si>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</si>
  <si>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</si>
  <si>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</si>
  <si>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</si>
  <si>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</si>
  <si>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</si>
  <si>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</si>
  <si>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</si>
  <si>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</si>
  <si>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</si>
  <si>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</si>
  <si>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</si>
  <si>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</si>
  <si>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</si>
  <si>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</si>
  <si>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</si>
  <si>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</si>
  <si>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</si>
  <si>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</si>
  <si>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</si>
  <si>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</si>
  <si>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</si>
  <si>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</si>
  <si>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</si>
  <si>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</si>
  <si>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</si>
  <si>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</si>
  <si>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</si>
  <si>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</si>
  <si>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</si>
  <si>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</si>
  <si>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</si>
  <si>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</si>
  <si>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</si>
  <si>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</si>
  <si>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</si>
  <si>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</si>
  <si>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</si>
  <si>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</si>
  <si>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</si>
  <si>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</si>
  <si>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</si>
  <si>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</si>
  <si>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</si>
  <si>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</si>
  <si>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</si>
  <si>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</si>
  <si>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</si>
  <si>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</si>
  <si>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</si>
  <si>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</si>
  <si>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</si>
  <si>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</si>
  <si>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</si>
  <si>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</si>
  <si>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</si>
  <si>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</si>
  <si>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</si>
  <si>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</si>
  <si>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</si>
  <si>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</si>
  <si>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</si>
  <si>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</si>
  <si>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</si>
  <si>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</si>
  <si>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</si>
  <si>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</si>
  <si>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</si>
  <si>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</si>
  <si>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</si>
  <si>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</si>
  <si>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</si>
  <si>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</si>
  <si>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</si>
  <si>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</si>
  <si>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</si>
  <si>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</si>
  <si>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</si>
  <si>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</si>
  <si>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</si>
  <si>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</si>
  <si>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</si>
  <si>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</si>
  <si>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</si>
  <si>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</si>
  <si>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</si>
  <si>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</si>
  <si>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</si>
  <si>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</si>
  <si>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</si>
  <si>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</si>
  <si>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</si>
  <si>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</si>
  <si>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</si>
  <si>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</si>
  <si>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</si>
  <si>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</si>
  <si>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</si>
  <si>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</si>
  <si>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</si>
  <si>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</si>
  <si>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</si>
  <si>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</si>
  <si>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</si>
  <si>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</si>
  <si>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</si>
  <si>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</si>
  <si>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</si>
  <si>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</si>
  <si>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</si>
  <si>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</si>
  <si>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</si>
  <si>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</si>
  <si>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</si>
  <si>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</si>
  <si>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</si>
  <si>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</si>
  <si>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</si>
  <si>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</si>
  <si>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</si>
  <si>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</si>
  <si>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</si>
  <si>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</si>
  <si>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</si>
  <si>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</si>
  <si>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</si>
  <si>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</si>
  <si>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</si>
  <si>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</si>
  <si>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</si>
  <si>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</si>
  <si>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</si>
  <si>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</si>
  <si>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</si>
  <si>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</si>
  <si>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</si>
  <si>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</si>
  <si>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</si>
  <si>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</si>
  <si>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</si>
  <si>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</si>
  <si>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</si>
  <si>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</si>
  <si>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</si>
  <si>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</si>
  <si>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</si>
  <si>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</si>
  <si>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</si>
  <si>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</si>
  <si>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</si>
  <si>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</si>
  <si>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</si>
  <si>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</si>
  <si>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</si>
  <si>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</si>
  <si>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</si>
  <si>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</si>
  <si>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</si>
  <si>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</si>
  <si>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</si>
  <si>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</si>
  <si>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</si>
  <si>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</si>
  <si>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</si>
  <si>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</si>
  <si>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</si>
  <si>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</si>
  <si>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</si>
  <si>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</si>
  <si>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</si>
  <si>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</si>
  <si>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</si>
  <si>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</si>
  <si>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</si>
  <si>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</si>
  <si>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</si>
  <si>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</si>
  <si>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</si>
  <si>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</si>
  <si>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</si>
  <si>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</si>
  <si>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</si>
  <si>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</si>
  <si>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</si>
  <si>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</si>
  <si>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</si>
  <si>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</si>
  <si>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</si>
  <si>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</si>
  <si>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</si>
  <si>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</si>
  <si>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</si>
  <si>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</si>
  <si>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</si>
  <si>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</si>
  <si>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</si>
  <si>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</si>
  <si>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</si>
  <si>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</si>
  <si>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</si>
  <si>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</si>
  <si>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</si>
  <si>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</si>
  <si>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</si>
  <si>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</si>
  <si>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</si>
  <si>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</si>
  <si>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</si>
  <si>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</si>
  <si>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</si>
  <si>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</si>
  <si>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</si>
  <si>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</si>
  <si>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</si>
  <si>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</si>
  <si>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</si>
  <si>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</si>
  <si>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</si>
  <si>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</si>
  <si>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</si>
  <si>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</si>
  <si>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</si>
  <si>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</si>
  <si>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</si>
  <si>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</si>
  <si>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</si>
  <si>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</si>
  <si>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</si>
  <si>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</si>
  <si>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</si>
  <si>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</si>
  <si>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</si>
  <si>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</si>
  <si>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</si>
  <si>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</si>
  <si>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</si>
  <si>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</si>
  <si>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</si>
  <si>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</si>
  <si>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</si>
  <si>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</si>
  <si>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</si>
  <si>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</si>
  <si>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</si>
  <si>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</si>
  <si>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</si>
  <si>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</si>
  <si>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</si>
  <si>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</si>
  <si>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</si>
  <si>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</si>
  <si>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</si>
  <si>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</si>
  <si>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</si>
  <si>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</si>
  <si>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</si>
  <si>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</si>
  <si>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</si>
  <si>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</si>
  <si>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</si>
  <si>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</si>
  <si>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</si>
  <si>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</si>
  <si>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</si>
  <si>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</si>
  <si>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</si>
  <si>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</si>
  <si>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</si>
  <si>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</si>
  <si>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</si>
  <si>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</si>
  <si>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</si>
  <si>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</si>
  <si>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</si>
  <si>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</si>
  <si>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</si>
  <si>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</si>
  <si>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</si>
  <si>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</si>
  <si>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</si>
  <si>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</si>
  <si>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</si>
  <si>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</si>
  <si>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</si>
  <si>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</si>
  <si>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</si>
  <si>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</si>
  <si>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</si>
  <si>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</si>
  <si>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</si>
  <si>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</si>
  <si>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</si>
  <si>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</si>
  <si>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</si>
  <si>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</si>
  <si>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</si>
  <si>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</si>
  <si>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</si>
  <si>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</si>
  <si>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</si>
  <si>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</si>
  <si>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</si>
  <si>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</si>
  <si>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</si>
  <si>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</si>
  <si>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</si>
  <si>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</si>
  <si>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</si>
  <si>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</si>
  <si>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</si>
  <si>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</si>
  <si>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</si>
  <si>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</si>
  <si>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</si>
  <si>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</si>
  <si>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</si>
  <si>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</si>
  <si>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</si>
  <si>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</si>
  <si>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</si>
  <si>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</si>
  <si>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</si>
  <si>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</si>
  <si>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</si>
  <si>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</si>
  <si>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</si>
  <si>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</si>
  <si>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</si>
  <si>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</si>
  <si>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</si>
  <si>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</si>
  <si>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</si>
  <si>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</si>
  <si>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</si>
  <si>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</si>
  <si>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</si>
  <si>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</si>
  <si>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</si>
  <si>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</si>
  <si>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</si>
  <si>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</si>
  <si>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</si>
  <si>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</si>
  <si>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</si>
  <si>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</si>
  <si>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</si>
  <si>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</si>
  <si>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</si>
  <si>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</si>
  <si>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</si>
  <si>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</si>
  <si>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</si>
  <si>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</si>
  <si>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</si>
  <si>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</si>
  <si>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</si>
  <si>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</si>
  <si>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</si>
  <si>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</si>
  <si>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</si>
  <si>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</si>
  <si>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</si>
  <si>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</si>
  <si>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</si>
  <si>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</si>
  <si>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</si>
  <si>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</si>
  <si>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</si>
  <si>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</si>
  <si>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</si>
  <si>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</si>
  <si>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</si>
  <si>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</si>
  <si>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</si>
  <si>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</si>
  <si>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</si>
  <si>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</si>
  <si>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</si>
  <si>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</si>
  <si>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</si>
  <si>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</si>
  <si>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</si>
  <si>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</si>
  <si>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</si>
  <si>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</si>
  <si>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</si>
  <si>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</si>
  <si>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</si>
  <si>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</si>
  <si>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</si>
  <si>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</si>
  <si>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</si>
  <si>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</si>
  <si>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</si>
  <si>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</si>
  <si>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</si>
  <si>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</si>
  <si>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</si>
  <si>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</si>
  <si>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</si>
  <si>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</si>
  <si>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</si>
  <si>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</si>
  <si>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</si>
  <si>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</si>
  <si>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</si>
  <si>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</si>
  <si>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</si>
  <si>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</si>
  <si>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</si>
  <si>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</si>
  <si>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</si>
  <si>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</si>
  <si>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</si>
  <si>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</si>
  <si>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</si>
  <si>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</si>
  <si>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</si>
  <si>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</si>
  <si>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</si>
  <si>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</si>
  <si>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</si>
  <si>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</si>
  <si>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</si>
  <si>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</si>
  <si>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</si>
  <si>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</si>
  <si>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</si>
  <si>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</si>
  <si>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</si>
  <si>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</si>
  <si>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</si>
  <si>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</si>
  <si>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</si>
  <si>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</si>
  <si>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</si>
  <si>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</si>
  <si>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</si>
  <si>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</si>
  <si>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</si>
  <si>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</si>
  <si>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</si>
  <si>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</si>
  <si>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</si>
  <si>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</si>
  <si>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</si>
  <si>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</si>
  <si>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</si>
  <si>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</si>
  <si>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</si>
  <si>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</si>
  <si>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</si>
  <si>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</si>
  <si>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</si>
  <si>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</si>
  <si>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</si>
  <si>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</si>
  <si>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</si>
  <si>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</si>
  <si>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</si>
  <si>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</si>
  <si>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</si>
  <si>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</si>
  <si>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</si>
  <si>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</si>
  <si>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</si>
  <si>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</si>
  <si>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</si>
  <si>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</si>
  <si>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</si>
  <si>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</si>
  <si>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</si>
  <si>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</si>
  <si>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</si>
  <si>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</si>
  <si>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</si>
  <si>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</si>
  <si>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</si>
  <si>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</si>
  <si>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</si>
  <si>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</si>
  <si>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</si>
  <si>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</si>
  <si>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</si>
  <si>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</si>
  <si>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</si>
  <si>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</si>
  <si>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</si>
  <si>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</si>
  <si>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</si>
  <si>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</si>
  <si>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</si>
  <si>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</si>
  <si>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</si>
  <si>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</si>
  <si>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</si>
  <si>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</si>
  <si>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</si>
  <si>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</si>
  <si>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</si>
  <si>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</si>
  <si>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</si>
  <si>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</si>
  <si>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</si>
  <si>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</si>
  <si>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</si>
  <si>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</si>
  <si>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</si>
  <si>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</si>
  <si>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</si>
  <si>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</si>
  <si>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</si>
  <si>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</si>
  <si>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</si>
  <si>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</si>
  <si>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</si>
  <si>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</si>
  <si>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</si>
  <si>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</si>
  <si>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</si>
  <si>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</si>
  <si>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</si>
  <si>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</si>
  <si>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</si>
  <si>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</si>
  <si>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</si>
  <si>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</si>
  <si>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</si>
  <si>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</si>
  <si>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</si>
  <si>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</si>
  <si>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</si>
  <si>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</si>
  <si>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</si>
  <si>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</si>
  <si>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</si>
  <si>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</si>
  <si>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</si>
  <si>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</si>
  <si>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</si>
  <si>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</si>
  <si>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</si>
  <si>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</si>
  <si>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</si>
  <si>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</si>
  <si>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</si>
  <si>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</si>
  <si>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</si>
  <si>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</si>
  <si>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</si>
  <si>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</si>
  <si>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</si>
  <si>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</si>
  <si>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</si>
  <si>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</si>
  <si>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</si>
  <si>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</si>
  <si>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</si>
  <si>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</si>
  <si>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</si>
  <si>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</si>
  <si>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</si>
  <si>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</si>
  <si>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</si>
  <si>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</si>
  <si>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</si>
  <si>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</si>
  <si>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</si>
  <si>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</si>
  <si>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</si>
  <si>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</si>
  <si>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</si>
  <si>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</si>
  <si>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</si>
  <si>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</si>
  <si>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</si>
  <si>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</si>
  <si>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</si>
  <si>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</si>
  <si>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</si>
  <si>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</si>
  <si>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</si>
  <si>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</si>
  <si>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</si>
  <si>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</si>
  <si>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</si>
  <si>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</si>
  <si>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</si>
  <si>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</si>
  <si>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</si>
  <si>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</si>
  <si>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</si>
  <si>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</si>
  <si>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</si>
  <si>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</si>
  <si>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</si>
  <si>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</si>
  <si>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</si>
  <si>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</si>
  <si>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</si>
  <si>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</si>
  <si>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</si>
  <si>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</si>
  <si>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</si>
  <si>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</si>
  <si>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</si>
  <si>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</si>
  <si>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</si>
  <si>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</si>
  <si>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</si>
  <si>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</si>
  <si>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</si>
  <si>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</si>
  <si>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</si>
  <si>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</si>
  <si>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</si>
  <si>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</si>
  <si>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</si>
  <si>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</si>
  <si>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</si>
  <si>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</si>
  <si>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</si>
  <si>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</si>
  <si>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</si>
  <si>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</si>
  <si>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</si>
  <si>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</si>
  <si>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</si>
  <si>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</si>
  <si>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</si>
  <si>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</si>
  <si>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</si>
  <si>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</si>
  <si>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</si>
  <si>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</si>
  <si>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</si>
  <si>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</si>
  <si>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</si>
  <si>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</si>
  <si>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</si>
  <si>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</si>
  <si>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</si>
  <si>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</si>
  <si>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</si>
  <si>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</si>
  <si>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</si>
  <si>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</si>
  <si>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</si>
  <si>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</si>
  <si>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</si>
  <si>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</si>
  <si>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</si>
  <si>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</si>
  <si>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</si>
  <si>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</si>
  <si>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</si>
  <si>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</si>
  <si>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</si>
  <si>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</si>
  <si>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</si>
  <si>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</si>
  <si>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</si>
  <si>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</si>
  <si>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</si>
  <si>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</si>
  <si>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</si>
  <si>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</si>
  <si>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</si>
  <si>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</si>
  <si>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</si>
  <si>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</si>
  <si>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</si>
  <si>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</si>
  <si>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</si>
  <si>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</si>
  <si>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</si>
  <si>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</si>
  <si>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</si>
  <si>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</si>
  <si>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</si>
  <si>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</si>
  <si>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</si>
  <si>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</si>
  <si>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</si>
  <si>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</si>
  <si>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</si>
  <si>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</si>
  <si>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</si>
  <si>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</si>
  <si>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</si>
  <si>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</si>
  <si>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</si>
  <si>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</si>
  <si>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</si>
  <si>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</si>
  <si>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</si>
  <si>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</si>
  <si>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</si>
  <si>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</si>
  <si>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</si>
  <si>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</si>
  <si>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</si>
  <si>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</si>
  <si>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</si>
  <si>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</si>
  <si>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</si>
  <si>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</si>
  <si>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</si>
  <si>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</si>
  <si>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</si>
  <si>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</si>
  <si>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</si>
  <si>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</si>
  <si>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</si>
  <si>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</si>
  <si>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</si>
  <si>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</si>
  <si>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</si>
  <si>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</si>
  <si>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</si>
  <si>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</si>
  <si>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</si>
  <si>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</si>
  <si>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</si>
  <si>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</si>
  <si>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</si>
  <si>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</si>
  <si>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</si>
  <si>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</si>
  <si>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</si>
  <si>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</si>
  <si>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</si>
  <si>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</si>
  <si>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</si>
  <si>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</si>
  <si>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</si>
  <si>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</si>
  <si>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</si>
  <si>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</si>
  <si>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</si>
  <si>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</si>
  <si>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</si>
  <si>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</si>
  <si>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</si>
  <si>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</si>
  <si>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</si>
  <si>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</si>
  <si>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</si>
  <si>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</si>
  <si>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</si>
  <si>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</si>
  <si>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</si>
  <si>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</si>
  <si>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</si>
  <si>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</si>
  <si>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</si>
  <si>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</si>
  <si>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</si>
  <si>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</si>
  <si>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</si>
  <si>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</si>
  <si>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</si>
  <si>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</si>
  <si>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</si>
  <si>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</si>
  <si>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</si>
  <si>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</si>
  <si>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</si>
  <si>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</si>
  <si>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</si>
  <si>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</si>
  <si>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</si>
  <si>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charset val="134"/>
      </rPr>
      <t>C</t>
    </r>
    <r>
      <rPr>
        <sz val="9"/>
        <color indexed="8"/>
        <rFont val="微软雅黑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</si>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</sst>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[$-804]aaaa;@"/>
    <numFmt numFmtId="177" formatCode="0.00_ "/>
    <numFmt numFmtId="178" formatCode="#,##0.00_ "/>
  </numFmts>
  <fonts count="30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11"/>
      <name val="宋体"/>
      <charset val="134"/>
      <scheme val="minor"/>
    </font>
    <font>
      <sz val="9"/>
      <color indexed="8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2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1" borderId="5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27" fillId="20" borderId="2" applyNumberFormat="0" applyAlignment="0" applyProtection="0">
      <alignment vertical="center"/>
    </xf>
    <xf numFmtId="0" fontId="22" fillId="28" borderId="7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8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8" applyFont="1" applyBorder="1" applyAlignment="1"/>
    <xf numFmtId="10" fontId="1" fillId="0" borderId="1" xfId="11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11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8" applyFont="1" applyFill="1" applyBorder="1" applyAlignment="1"/>
    <xf numFmtId="9" fontId="1" fillId="0" borderId="1" xfId="11" applyFont="1" applyBorder="1" applyAlignment="1">
      <alignment horizontal="center" vertical="center"/>
    </xf>
    <xf numFmtId="9" fontId="2" fillId="0" borderId="1" xfId="11" applyFont="1" applyBorder="1" applyAlignment="1"/>
    <xf numFmtId="0" fontId="4" fillId="2" borderId="0" xfId="31" applyNumberFormat="1" applyFont="1" applyFill="1" applyBorder="1" applyAlignment="1">
      <alignment horizontal="center" vertical="center"/>
    </xf>
    <xf numFmtId="176" fontId="4" fillId="2" borderId="0" xfId="31" applyNumberFormat="1" applyFont="1" applyFill="1" applyBorder="1" applyAlignment="1">
      <alignment horizontal="center" vertical="center"/>
    </xf>
    <xf numFmtId="176" fontId="4" fillId="2" borderId="0" xfId="3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11" applyFont="1" applyFill="1" applyBorder="1" applyAlignment="1">
      <alignment horizontal="center" vertical="center"/>
    </xf>
    <xf numFmtId="10" fontId="4" fillId="2" borderId="0" xfId="11" applyNumberFormat="1" applyFont="1" applyFill="1" applyBorder="1" applyAlignment="1">
      <alignment horizontal="center" vertical="center"/>
    </xf>
    <xf numFmtId="10" fontId="4" fillId="0" borderId="0" xfId="11" applyNumberFormat="1" applyFont="1" applyAlignment="1">
      <alignment horizontal="center" vertical="center"/>
    </xf>
    <xf numFmtId="10" fontId="4" fillId="0" borderId="0" xfId="11" applyNumberFormat="1" applyFont="1" applyFill="1" applyAlignment="1">
      <alignment horizontal="center" vertical="center"/>
    </xf>
    <xf numFmtId="0" fontId="4" fillId="2" borderId="0" xfId="11" applyNumberFormat="1" applyFont="1" applyFill="1" applyBorder="1" applyAlignment="1">
      <alignment horizontal="center" vertical="center"/>
    </xf>
    <xf numFmtId="43" fontId="4" fillId="2" borderId="0" xfId="8" applyFont="1" applyFill="1" applyBorder="1" applyAlignment="1">
      <alignment horizontal="left" vertical="center"/>
    </xf>
    <xf numFmtId="43" fontId="4" fillId="2" borderId="0" xfId="8" applyFont="1" applyFill="1" applyBorder="1" applyAlignment="1">
      <alignment horizontal="center" vertical="center"/>
    </xf>
    <xf numFmtId="43" fontId="4" fillId="2" borderId="0" xfId="8" applyFont="1" applyFill="1" applyBorder="1" applyAlignment="1">
      <alignment horizontal="center" vertical="center" wrapText="1"/>
    </xf>
    <xf numFmtId="0" fontId="4" fillId="0" borderId="0" xfId="11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8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11" applyNumberFormat="1" applyFont="1" applyFill="1" applyAlignment="1">
      <alignment horizontal="center" vertical="center"/>
    </xf>
    <xf numFmtId="43" fontId="4" fillId="0" borderId="0" xfId="8" applyFont="1" applyFill="1" applyAlignment="1">
      <alignment horizontal="center" vertical="center"/>
    </xf>
    <xf numFmtId="177" fontId="4" fillId="3" borderId="0" xfId="8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11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8" applyNumberFormat="1" applyFont="1" applyAlignment="1">
      <alignment horizontal="center" vertical="center"/>
    </xf>
    <xf numFmtId="49" fontId="4" fillId="0" borderId="0" xfId="8" applyNumberFormat="1" applyFont="1" applyFill="1" applyAlignment="1">
      <alignment horizontal="center" vertical="center"/>
    </xf>
    <xf numFmtId="176" fontId="4" fillId="0" borderId="0" xfId="11" applyNumberFormat="1" applyFont="1" applyFill="1" applyAlignment="1">
      <alignment horizontal="left" vertical="center"/>
    </xf>
    <xf numFmtId="49" fontId="4" fillId="0" borderId="0" xfId="8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8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9" applyNumberFormat="1" applyFont="1" applyFill="1" applyAlignment="1">
      <alignment horizontal="center" vertical="center"/>
    </xf>
    <xf numFmtId="0" fontId="4" fillId="0" borderId="0" xfId="49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8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9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8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11" applyNumberFormat="1" applyFont="1" applyAlignment="1">
      <alignment horizontal="center" vertical="center"/>
    </xf>
    <xf numFmtId="0" fontId="6" fillId="0" borderId="0" xfId="8" applyNumberFormat="1" applyFont="1" applyAlignment="1">
      <alignment horizontal="center" vertical="center"/>
    </xf>
    <xf numFmtId="10" fontId="6" fillId="0" borderId="0" xfId="11" applyNumberFormat="1" applyFont="1" applyFill="1" applyAlignment="1">
      <alignment horizontal="center" vertical="center"/>
    </xf>
    <xf numFmtId="43" fontId="6" fillId="0" borderId="0" xfId="8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8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11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8" applyFont="1" applyFill="1" applyAlignment="1">
      <alignment horizontal="center" vertical="center"/>
    </xf>
    <xf numFmtId="10" fontId="6" fillId="0" borderId="0" xfId="11" applyNumberFormat="1" applyFont="1" applyFill="1" applyAlignment="1" applyProtection="1">
      <alignment horizontal="center" vertical="center"/>
    </xf>
    <xf numFmtId="43" fontId="6" fillId="0" borderId="0" xfId="8" applyFont="1" applyFill="1" applyAlignment="1" applyProtection="1">
      <alignment horizontal="center" vertical="center"/>
    </xf>
    <xf numFmtId="0" fontId="6" fillId="0" borderId="0" xfId="8" applyNumberFormat="1" applyFont="1" applyFill="1" applyAlignment="1" applyProtection="1">
      <alignment horizontal="center" vertical="center"/>
    </xf>
    <xf numFmtId="10" fontId="8" fillId="0" borderId="0" xfId="11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11" applyNumberFormat="1" applyFont="1" applyFill="1" applyAlignment="1">
      <alignment horizontal="center" vertical="center"/>
    </xf>
    <xf numFmtId="0" fontId="4" fillId="2" borderId="0" xfId="11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8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8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9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8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9" applyNumberFormat="1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百分比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/>
      <sheetData sheetId="1"/>
      <sheetData sheetId="2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9773957.04</v>
          </cell>
          <cell r="H2">
            <v>9773957.04</v>
          </cell>
          <cell r="I2">
            <v>0.165</v>
          </cell>
          <cell r="J2">
            <v>1612702.9116</v>
          </cell>
          <cell r="K2">
            <v>684970.94</v>
          </cell>
          <cell r="L2">
            <v>927731.9716</v>
          </cell>
          <cell r="M2" t="str">
            <v>返现</v>
          </cell>
        </row>
        <row r="2">
          <cell r="O2">
            <v>9747700.80590767</v>
          </cell>
        </row>
        <row r="2">
          <cell r="Q2">
            <v>1496647.8089695</v>
          </cell>
          <cell r="R2">
            <v>1496647.8089695</v>
          </cell>
          <cell r="S2">
            <v>0.153538546039744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-35365.736</v>
          </cell>
          <cell r="M3" t="str">
            <v>返货</v>
          </cell>
          <cell r="N3" t="str">
            <v>已均摊</v>
          </cell>
          <cell r="O3">
            <v>331057.306930693</v>
          </cell>
        </row>
        <row r="3">
          <cell r="Q3">
            <v>12648.8876704651</v>
          </cell>
          <cell r="R3">
            <v>12648.8876704651</v>
          </cell>
          <cell r="S3">
            <v>0.0382075471698111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</v>
          </cell>
        </row>
        <row r="4">
          <cell r="L4">
            <v>309.4488</v>
          </cell>
          <cell r="M4" t="str">
            <v>返现</v>
          </cell>
        </row>
        <row r="4">
          <cell r="O4">
            <v>8161.6505</v>
          </cell>
        </row>
        <row r="4">
          <cell r="Q4">
            <v>693.282358490566</v>
          </cell>
          <cell r="R4">
            <v>693.282358490566</v>
          </cell>
          <cell r="S4">
            <v>0.0849438919849074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</row>
        <row r="5">
          <cell r="L5">
            <v>0</v>
          </cell>
          <cell r="M5" t="str">
            <v>返现</v>
          </cell>
        </row>
        <row r="5">
          <cell r="O5">
            <v>132383.9625</v>
          </cell>
        </row>
        <row r="5">
          <cell r="Q5">
            <v>3851.85141509433</v>
          </cell>
          <cell r="R5">
            <v>3851.85141509433</v>
          </cell>
          <cell r="S5">
            <v>0.0290960577274935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</row>
        <row r="6">
          <cell r="L6">
            <v>254900.2328</v>
          </cell>
          <cell r="M6" t="str">
            <v>返货</v>
          </cell>
        </row>
        <row r="6">
          <cell r="O6">
            <v>3132769.03030916</v>
          </cell>
        </row>
        <row r="6">
          <cell r="Q6">
            <v>1875670.64097273</v>
          </cell>
          <cell r="R6">
            <v>1875670.64097273</v>
          </cell>
          <cell r="S6">
            <v>0.598726118276146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</v>
          </cell>
          <cell r="I7">
            <v>0.065</v>
          </cell>
          <cell r="J7">
            <v>1585583.71075</v>
          </cell>
          <cell r="K7">
            <v>14315185.39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36.66</v>
          </cell>
          <cell r="Q7">
            <v>-401957.477273796</v>
          </cell>
          <cell r="R7">
            <v>-401992.062179456</v>
          </cell>
          <cell r="S7">
            <v>-0.0208469395748276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</v>
          </cell>
          <cell r="H8">
            <v>252325.44</v>
          </cell>
          <cell r="I8">
            <v>0.08</v>
          </cell>
          <cell r="J8">
            <v>20186.0352</v>
          </cell>
        </row>
        <row r="8">
          <cell r="L8">
            <v>20186.0352</v>
          </cell>
          <cell r="M8" t="str">
            <v>返货</v>
          </cell>
        </row>
        <row r="8">
          <cell r="O8">
            <v>252325.44</v>
          </cell>
        </row>
        <row r="8">
          <cell r="Q8">
            <v>88447.6172029189</v>
          </cell>
          <cell r="R8">
            <v>88447.6172029189</v>
          </cell>
          <cell r="S8">
            <v>0.350529923589626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</v>
          </cell>
          <cell r="J9">
            <v>441633.0037</v>
          </cell>
        </row>
        <row r="9">
          <cell r="L9">
            <v>441633.0037</v>
          </cell>
          <cell r="M9" t="str">
            <v>返现</v>
          </cell>
        </row>
        <row r="9">
          <cell r="O9">
            <v>3249765.51074862</v>
          </cell>
        </row>
        <row r="9">
          <cell r="Q9">
            <v>349858.12683832</v>
          </cell>
          <cell r="R9">
            <v>349858.12683832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21193834.74</v>
          </cell>
          <cell r="H10">
            <v>21193834.74</v>
          </cell>
          <cell r="I10">
            <v>0.053</v>
          </cell>
          <cell r="J10">
            <v>1123273.24122</v>
          </cell>
        </row>
        <row r="10">
          <cell r="L10">
            <v>1123273.24122</v>
          </cell>
          <cell r="M10" t="str">
            <v>返现</v>
          </cell>
        </row>
        <row r="10">
          <cell r="O10">
            <v>20870608.4270104</v>
          </cell>
          <cell r="P10">
            <v>2020.6782</v>
          </cell>
          <cell r="Q10">
            <v>754761.253047575</v>
          </cell>
          <cell r="R10">
            <v>752854.952858896</v>
          </cell>
          <cell r="S10">
            <v>0.0360724966639958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252462223.01</v>
          </cell>
          <cell r="H11">
            <v>252462223.01</v>
          </cell>
          <cell r="I11">
            <v>0.07</v>
          </cell>
          <cell r="J11">
            <v>17672355.6107</v>
          </cell>
        </row>
        <row r="11">
          <cell r="L11">
            <v>17672355.6107</v>
          </cell>
          <cell r="M11" t="str">
            <v>返现</v>
          </cell>
        </row>
        <row r="11">
          <cell r="O11">
            <v>251118098.623976</v>
          </cell>
        </row>
        <row r="11">
          <cell r="Q11">
            <v>15403991.7213921</v>
          </cell>
          <cell r="R11">
            <v>15403991.7213921</v>
          </cell>
          <cell r="S11">
            <v>0.0613416229487227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</v>
          </cell>
          <cell r="H12">
            <v>23712.2</v>
          </cell>
          <cell r="I12">
            <v>0.04</v>
          </cell>
          <cell r="J12">
            <v>948.488</v>
          </cell>
        </row>
        <row r="12">
          <cell r="L12">
            <v>948.488</v>
          </cell>
          <cell r="M12" t="str">
            <v>返货</v>
          </cell>
        </row>
        <row r="12">
          <cell r="O12">
            <v>24155.04</v>
          </cell>
        </row>
        <row r="12">
          <cell r="Q12">
            <v>894.8</v>
          </cell>
          <cell r="R12">
            <v>894.8</v>
          </cell>
          <cell r="S12">
            <v>0.0370440289065967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</v>
          </cell>
        </row>
        <row r="13">
          <cell r="L13">
            <v>7500.0428</v>
          </cell>
          <cell r="M13" t="str">
            <v>返货</v>
          </cell>
        </row>
        <row r="13">
          <cell r="O13">
            <v>187501.07</v>
          </cell>
        </row>
        <row r="13">
          <cell r="Q13">
            <v>7075.5120754717</v>
          </cell>
          <cell r="R13">
            <v>7075.5120754717</v>
          </cell>
          <cell r="S13">
            <v>0.0377358490566038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1672827.73333333</v>
          </cell>
          <cell r="H14">
            <v>1672827.73333333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</v>
          </cell>
          <cell r="M14" t="str">
            <v>返货</v>
          </cell>
          <cell r="N14" t="str">
            <v>已均摊</v>
          </cell>
          <cell r="O14">
            <v>1861715.82549407</v>
          </cell>
        </row>
        <row r="14">
          <cell r="Q14">
            <v>236214.96744724</v>
          </cell>
          <cell r="R14">
            <v>236214.96744724</v>
          </cell>
          <cell r="S14">
            <v>0.126880248968476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527473.5948</v>
          </cell>
        </row>
        <row r="15">
          <cell r="L15">
            <v>527473.5948</v>
          </cell>
          <cell r="M15" t="str">
            <v>返货</v>
          </cell>
        </row>
        <row r="15">
          <cell r="O15">
            <v>4435798.00322401</v>
          </cell>
        </row>
        <row r="15">
          <cell r="Q15">
            <v>1996252.02490039</v>
          </cell>
          <cell r="R15">
            <v>1996252.02490039</v>
          </cell>
          <cell r="S15">
            <v>0.450032220459426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46902142.6426167</v>
          </cell>
          <cell r="H16">
            <v>76365987.71</v>
          </cell>
          <cell r="I16">
            <v>0.065</v>
          </cell>
          <cell r="J16">
            <v>4963789.20115</v>
          </cell>
          <cell r="K16">
            <v>31753728.86</v>
          </cell>
          <cell r="L16">
            <v>-26789939.65885</v>
          </cell>
          <cell r="M16" t="str">
            <v>返货</v>
          </cell>
          <cell r="N16" t="str">
            <v>已均摊到CPD/CPC/联盟</v>
          </cell>
          <cell r="O16">
            <v>75971564.6527847</v>
          </cell>
          <cell r="P16">
            <v>4993.23</v>
          </cell>
          <cell r="Q16">
            <v>2150455.04841323</v>
          </cell>
          <cell r="R16">
            <v>2145744.45407361</v>
          </cell>
          <cell r="S16">
            <v>0.0282440471494877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855958.445753797</v>
          </cell>
          <cell r="H17">
            <v>1395871.21</v>
          </cell>
          <cell r="I17">
            <v>0.12</v>
          </cell>
          <cell r="J17">
            <v>167504.5452</v>
          </cell>
        </row>
        <row r="17">
          <cell r="L17">
            <v>167504.5452</v>
          </cell>
          <cell r="M17" t="str">
            <v>返货</v>
          </cell>
        </row>
        <row r="17">
          <cell r="O17">
            <v>1389747.2653729</v>
          </cell>
        </row>
        <row r="17">
          <cell r="Q17">
            <v>661597.513980288</v>
          </cell>
          <cell r="R17">
            <v>661597.513980288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</v>
          </cell>
          <cell r="H18">
            <v>56016014.03</v>
          </cell>
          <cell r="I18">
            <v>0.05</v>
          </cell>
          <cell r="J18">
            <v>2800800.7015</v>
          </cell>
        </row>
        <row r="18">
          <cell r="L18">
            <v>2800800.7015</v>
          </cell>
          <cell r="M18" t="str">
            <v>返现</v>
          </cell>
        </row>
        <row r="18">
          <cell r="O18">
            <v>55571529.6865202</v>
          </cell>
          <cell r="P18">
            <v>2178.7519047619</v>
          </cell>
          <cell r="Q18">
            <v>2222939.96039646</v>
          </cell>
          <cell r="R18">
            <v>2220884.53407121</v>
          </cell>
          <cell r="S18">
            <v>0.0399644304664502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</v>
          </cell>
          <cell r="H19">
            <v>11331093.47</v>
          </cell>
          <cell r="I19">
            <v>0.05</v>
          </cell>
          <cell r="J19">
            <v>566554.6735</v>
          </cell>
        </row>
        <row r="19">
          <cell r="L19">
            <v>566554.6735</v>
          </cell>
          <cell r="M19" t="str">
            <v>返现</v>
          </cell>
        </row>
        <row r="19">
          <cell r="O19">
            <v>11118350.9711574</v>
          </cell>
        </row>
        <row r="19">
          <cell r="Q19">
            <v>333785.070431468</v>
          </cell>
          <cell r="R19">
            <v>333785.070431468</v>
          </cell>
          <cell r="S19">
            <v>0.0300210949714896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</row>
        <row r="20">
          <cell r="L20">
            <v>668668.77</v>
          </cell>
          <cell r="M20" t="str">
            <v>返现</v>
          </cell>
        </row>
        <row r="20">
          <cell r="O20">
            <v>12676852.44621</v>
          </cell>
        </row>
        <row r="20">
          <cell r="Q20">
            <v>-26277.5318773986</v>
          </cell>
          <cell r="R20">
            <v>-26277.5318773986</v>
          </cell>
          <cell r="S20">
            <v>-0.00207287510751574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24745548.22</v>
          </cell>
          <cell r="H21">
            <v>24745548.22</v>
          </cell>
          <cell r="I21">
            <v>0</v>
          </cell>
          <cell r="J21">
            <v>0</v>
          </cell>
        </row>
        <row r="21">
          <cell r="L21">
            <v>0</v>
          </cell>
          <cell r="M21" t="str">
            <v>无</v>
          </cell>
        </row>
        <row r="21">
          <cell r="O21">
            <v>26025693.6655284</v>
          </cell>
        </row>
        <row r="21">
          <cell r="Q21">
            <v>1207684.38257398</v>
          </cell>
          <cell r="R21">
            <v>1207684.38257398</v>
          </cell>
          <cell r="S21">
            <v>0.0464035425181992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</row>
        <row r="22">
          <cell r="O22">
            <v>12000</v>
          </cell>
        </row>
        <row r="22">
          <cell r="Q22">
            <v>1811.32075471698</v>
          </cell>
          <cell r="R22">
            <v>1811.32075471698</v>
          </cell>
          <cell r="S22">
            <v>0.150943396226415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</row>
        <row r="23">
          <cell r="O23">
            <v>0</v>
          </cell>
        </row>
        <row r="23"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</row>
        <row r="24">
          <cell r="O24">
            <v>380000</v>
          </cell>
        </row>
        <row r="24"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</row>
        <row r="25">
          <cell r="Q25">
            <v>306603.773584906</v>
          </cell>
          <cell r="R25">
            <v>306603.773584906</v>
          </cell>
          <cell r="S25">
            <v>0.0449236298292902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</row>
        <row r="26">
          <cell r="Q26">
            <v>53937.7358490566</v>
          </cell>
          <cell r="R26">
            <v>53937.7358490566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</row>
        <row r="27">
          <cell r="Q27">
            <v>254433.962264151</v>
          </cell>
          <cell r="R27">
            <v>254433.962264151</v>
          </cell>
          <cell r="S27">
            <v>0.270099747626487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1670622.822</v>
          </cell>
          <cell r="H28">
            <v>1670622.822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</v>
          </cell>
        </row>
        <row r="28">
          <cell r="Q28">
            <v>523441.564500349</v>
          </cell>
          <cell r="R28">
            <v>523441.564500349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</row>
        <row r="29"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</row>
        <row r="30">
          <cell r="Q30">
            <v>38037.7358490566</v>
          </cell>
          <cell r="R30">
            <v>38037.7358490566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</v>
          </cell>
          <cell r="H31">
            <v>127569.485454545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</row>
        <row r="31">
          <cell r="Q31">
            <v>18418.1251496821</v>
          </cell>
          <cell r="R31">
            <v>18418.1251496821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</row>
        <row r="32">
          <cell r="O32">
            <v>2628484</v>
          </cell>
        </row>
        <row r="32">
          <cell r="Q32">
            <v>566348.113207547</v>
          </cell>
          <cell r="R32">
            <v>566348.113207547</v>
          </cell>
          <cell r="S32">
            <v>0.215465687905099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</row>
        <row r="33"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</row>
        <row r="34"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91.383</v>
          </cell>
          <cell r="K35">
            <v>0</v>
          </cell>
          <cell r="L35">
            <v>91.383</v>
          </cell>
          <cell r="M35" t="str">
            <v>返货</v>
          </cell>
          <cell r="N35" t="str">
            <v>魅族账户1月8日由优联达转至玩咖</v>
          </cell>
          <cell r="O35">
            <v>1522.75352941176</v>
          </cell>
        </row>
        <row r="35">
          <cell r="Q35">
            <v>85.9306881243066</v>
          </cell>
          <cell r="R35">
            <v>85.9306881243066</v>
          </cell>
          <cell r="S35">
            <v>0.0564311206407128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</row>
        <row r="36"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</v>
          </cell>
          <cell r="H37">
            <v>69608.32</v>
          </cell>
          <cell r="I37">
            <v>0.03</v>
          </cell>
          <cell r="J37">
            <v>2088.2496</v>
          </cell>
          <cell r="K37">
            <v>0</v>
          </cell>
          <cell r="L37">
            <v>2088.2496</v>
          </cell>
          <cell r="M37" t="str">
            <v>返货</v>
          </cell>
        </row>
        <row r="37">
          <cell r="O37">
            <v>67580.8932038835</v>
          </cell>
        </row>
        <row r="37">
          <cell r="Q37">
            <v>57.3800036636634</v>
          </cell>
          <cell r="R37">
            <v>57.3800036636634</v>
          </cell>
          <cell r="S37">
            <v>0.000849056603773418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0.07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</row>
        <row r="38">
          <cell r="O38">
            <v>0</v>
          </cell>
        </row>
        <row r="38"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867279.95627817</v>
          </cell>
          <cell r="H39">
            <v>867279.95627817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</row>
        <row r="39">
          <cell r="O39">
            <v>867279.95627817</v>
          </cell>
        </row>
        <row r="39"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</row>
        <row r="40">
          <cell r="O40">
            <v>6772158.45</v>
          </cell>
        </row>
        <row r="40">
          <cell r="Q40">
            <v>247017.877358491</v>
          </cell>
          <cell r="R40">
            <v>247017.877358491</v>
          </cell>
          <cell r="S40">
            <v>0.0364755017447193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125551.68</v>
          </cell>
          <cell r="H41">
            <v>125551.68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</row>
        <row r="41">
          <cell r="O41">
            <v>152075.04</v>
          </cell>
        </row>
        <row r="41"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0.065</v>
          </cell>
          <cell r="J42">
            <v>22840.207</v>
          </cell>
          <cell r="K42">
            <v>0</v>
          </cell>
          <cell r="L42">
            <v>22840.207</v>
          </cell>
          <cell r="M42" t="str">
            <v>返货</v>
          </cell>
        </row>
        <row r="42">
          <cell r="O42">
            <v>390365</v>
          </cell>
        </row>
        <row r="42"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0.065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</row>
        <row r="43">
          <cell r="O43">
            <v>100000</v>
          </cell>
        </row>
        <row r="43">
          <cell r="Q43">
            <v>6132.07547169811</v>
          </cell>
          <cell r="R43">
            <v>6132.07547169811</v>
          </cell>
          <cell r="S43">
            <v>0.0613207547169811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</row>
        <row r="44">
          <cell r="O44">
            <v>128685.35</v>
          </cell>
        </row>
        <row r="44"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</row>
        <row r="45"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0.053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</row>
        <row r="46">
          <cell r="O46">
            <v>233649.23</v>
          </cell>
        </row>
        <row r="46">
          <cell r="Q46">
            <v>7902.70754716979</v>
          </cell>
          <cell r="R46">
            <v>7902.70754716979</v>
          </cell>
          <cell r="S46">
            <v>0.0338229556637948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19565.2173913044</v>
          </cell>
          <cell r="K47">
            <v>19565.2173913044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142857.142857143</v>
          </cell>
        </row>
        <row r="47">
          <cell r="Q47">
            <v>11719.2077815538</v>
          </cell>
          <cell r="R47">
            <v>11719.2077815538</v>
          </cell>
          <cell r="S47">
            <v>0.0820344544708763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</row>
        <row r="48">
          <cell r="O48">
            <v>39331.5</v>
          </cell>
        </row>
        <row r="48">
          <cell r="Q48">
            <v>951.415094339623</v>
          </cell>
          <cell r="R48">
            <v>951.415094339623</v>
          </cell>
          <cell r="S48">
            <v>0.0241896468311563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</row>
        <row r="49">
          <cell r="O49">
            <v>460882.5</v>
          </cell>
        </row>
        <row r="49">
          <cell r="Q49">
            <v>11148.5849056604</v>
          </cell>
          <cell r="R49">
            <v>11148.5849056604</v>
          </cell>
          <cell r="S49">
            <v>0.0241896468311563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</row>
        <row r="50">
          <cell r="O50">
            <v>647536.5</v>
          </cell>
        </row>
        <row r="50">
          <cell r="Q50">
            <v>15663.679245283</v>
          </cell>
          <cell r="R50">
            <v>15663.679245283</v>
          </cell>
          <cell r="S50">
            <v>0.0241896468311563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</row>
        <row r="51">
          <cell r="O51">
            <v>152841</v>
          </cell>
        </row>
        <row r="51">
          <cell r="Q51">
            <v>3697.16981132075</v>
          </cell>
          <cell r="R51">
            <v>3697.16981132075</v>
          </cell>
          <cell r="S51">
            <v>0.0241896468311563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</row>
        <row r="52">
          <cell r="O52">
            <v>94594.5</v>
          </cell>
        </row>
        <row r="52">
          <cell r="Q52">
            <v>2288.20754716981</v>
          </cell>
          <cell r="R52">
            <v>2288.20754716981</v>
          </cell>
          <cell r="S52">
            <v>0.0241896468311563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</row>
        <row r="53">
          <cell r="O53">
            <v>14976</v>
          </cell>
        </row>
        <row r="53">
          <cell r="Q53">
            <v>362.264150943396</v>
          </cell>
          <cell r="R53">
            <v>362.264150943396</v>
          </cell>
          <cell r="S53">
            <v>0.0241896468311563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</row>
        <row r="54">
          <cell r="O54">
            <v>994.5</v>
          </cell>
        </row>
        <row r="54">
          <cell r="Q54">
            <v>938.207547169811</v>
          </cell>
          <cell r="R54">
            <v>938.207547169811</v>
          </cell>
          <cell r="S54">
            <v>0.943396226415094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</v>
          </cell>
          <cell r="K55">
            <v>70.848</v>
          </cell>
          <cell r="L55">
            <v>19195.32</v>
          </cell>
          <cell r="M55" t="str">
            <v>折现</v>
          </cell>
        </row>
        <row r="55">
          <cell r="O55">
            <v>113330.4</v>
          </cell>
        </row>
        <row r="55">
          <cell r="Q55">
            <v>18175.6301886792</v>
          </cell>
          <cell r="R55">
            <v>18175.6301886792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</row>
        <row r="56">
          <cell r="M56" t="str">
            <v>无</v>
          </cell>
          <cell r="N56" t="str">
            <v>转单</v>
          </cell>
          <cell r="O56">
            <v>102001.731727273</v>
          </cell>
        </row>
        <row r="56">
          <cell r="Q56">
            <v>0.00162950254546232</v>
          </cell>
          <cell r="R56">
            <v>0.00162950254546232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</row>
        <row r="57">
          <cell r="M57" t="str">
            <v>无</v>
          </cell>
          <cell r="N57" t="str">
            <v>转单</v>
          </cell>
          <cell r="O57">
            <v>19680.1189090909</v>
          </cell>
        </row>
        <row r="57">
          <cell r="Q57">
            <v>-0.00102915951775119</v>
          </cell>
          <cell r="R57">
            <v>-0.00102915951775119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3043.80508474576</v>
          </cell>
          <cell r="H58">
            <v>3043.80508474576</v>
          </cell>
          <cell r="I58">
            <v>0</v>
          </cell>
        </row>
        <row r="58">
          <cell r="M58" t="str">
            <v>无</v>
          </cell>
          <cell r="N58" t="str">
            <v>转单</v>
          </cell>
          <cell r="O58">
            <v>3043.80508474576</v>
          </cell>
        </row>
        <row r="58"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</row>
        <row r="59">
          <cell r="Q59">
            <v>201169.811320755</v>
          </cell>
          <cell r="R59">
            <v>201169.811320755</v>
          </cell>
          <cell r="S59">
            <v>0.428020875150542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</row>
        <row r="60">
          <cell r="G60">
            <v>5253308.43</v>
          </cell>
        </row>
        <row r="60">
          <cell r="M60" t="str">
            <v>无</v>
          </cell>
        </row>
        <row r="60">
          <cell r="O60">
            <v>5253308.43</v>
          </cell>
        </row>
        <row r="60"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780"/>
  <sheetViews>
    <sheetView tabSelected="1" workbookViewId="0">
      <selection activeCell="K28" sqref="K28"/>
    </sheetView>
  </sheetViews>
  <sheetFormatPr defaultColWidth="9" defaultRowHeight="13.5"/>
  <cols>
    <col min="20" max="20" width="13.5" customWidth="1"/>
    <col min="21" max="21" width="12.5" customWidth="1"/>
    <col min="23" max="23" width="12.5" customWidth="1"/>
    <col min="25" max="25" width="12.5" customWidth="1"/>
    <col min="27" max="27" width="12.5" customWidth="1"/>
  </cols>
  <sheetData>
    <row r="1" ht="28.5" spans="1:34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ht="14.25" spans="1:34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0.065</v>
      </c>
      <c r="AC2" s="36"/>
      <c r="AD2" s="36"/>
      <c r="AE2" s="31"/>
      <c r="AF2" s="31" t="s">
        <v>44</v>
      </c>
      <c r="AG2" s="23"/>
      <c r="AH2" s="38" t="e">
        <v>#N/A</v>
      </c>
    </row>
    <row r="3" ht="14.25" spans="1:34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0.053</v>
      </c>
      <c r="AC3" s="36"/>
      <c r="AD3" s="36"/>
      <c r="AE3" s="31"/>
      <c r="AF3" s="31" t="s">
        <v>53</v>
      </c>
      <c r="AG3" s="23"/>
      <c r="AH3" s="38" t="e">
        <v>#N/A</v>
      </c>
    </row>
    <row r="4" ht="14.25" spans="1:34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</v>
      </c>
      <c r="X4" s="32"/>
      <c r="Y4" s="32">
        <f t="shared" si="2"/>
        <v>1206556.93333333</v>
      </c>
      <c r="Z4" s="32">
        <f t="shared" si="3"/>
        <v>60327.8466666667</v>
      </c>
      <c r="AA4" s="34">
        <v>1336038.09</v>
      </c>
      <c r="AB4" s="24">
        <v>0.053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ht="14.25" spans="1:34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0.07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21622.9252336449</v>
      </c>
      <c r="X5" s="32"/>
      <c r="Y5" s="32">
        <f t="shared" si="2"/>
        <v>21622.9252336449</v>
      </c>
      <c r="Z5" s="32">
        <f t="shared" si="3"/>
        <v>1513.60476635514</v>
      </c>
      <c r="AA5" s="34">
        <v>23136.53</v>
      </c>
      <c r="AB5" s="24">
        <v>0.133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ht="14.25" spans="1:34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</v>
      </c>
      <c r="X6" s="32"/>
      <c r="Y6" s="32">
        <f t="shared" si="2"/>
        <v>65860.2952380952</v>
      </c>
      <c r="Z6" s="32">
        <f t="shared" si="3"/>
        <v>3293.01476190476</v>
      </c>
      <c r="AA6" s="34">
        <v>0</v>
      </c>
      <c r="AB6" s="24">
        <v>0.053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ht="14.25" spans="1:34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</v>
      </c>
      <c r="X7" s="32"/>
      <c r="Y7" s="32">
        <f t="shared" si="2"/>
        <v>7083.00970873786</v>
      </c>
      <c r="Z7" s="32">
        <f t="shared" si="3"/>
        <v>212.490291262136</v>
      </c>
      <c r="AA7" s="31">
        <v>7295.5</v>
      </c>
      <c r="AB7" s="23">
        <v>0.07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ht="14.25" spans="1:34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0.053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ht="14.25" spans="1:34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0.07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0.053</v>
      </c>
      <c r="AC9" s="36"/>
      <c r="AD9" s="36"/>
      <c r="AE9" s="34"/>
      <c r="AF9" s="34" t="s">
        <v>53</v>
      </c>
      <c r="AG9" s="24"/>
      <c r="AH9" s="38" t="e">
        <v>#N/A</v>
      </c>
    </row>
    <row r="10" ht="14.25" spans="1:34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0.065</v>
      </c>
      <c r="AC10" s="36"/>
      <c r="AD10" s="36"/>
      <c r="AE10" s="31"/>
      <c r="AF10" s="31" t="s">
        <v>53</v>
      </c>
      <c r="AG10" s="23"/>
      <c r="AH10" s="38" t="e">
        <v>#N/A</v>
      </c>
    </row>
    <row r="11" ht="14.25" spans="1:34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ht="14.25" spans="1:34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</v>
      </c>
      <c r="X12" s="32"/>
      <c r="Y12" s="32">
        <f t="shared" si="2"/>
        <v>6156.73636363636</v>
      </c>
      <c r="Z12" s="32">
        <f t="shared" si="3"/>
        <v>615.673636363636</v>
      </c>
      <c r="AA12" s="31">
        <v>47137.68</v>
      </c>
      <c r="AB12" s="23">
        <v>0.165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ht="14.25" spans="1:34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ht="14.25" spans="1:34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875.700000000001</v>
      </c>
      <c r="W14" s="32">
        <f t="shared" si="1"/>
        <v>11278.7254901961</v>
      </c>
      <c r="X14" s="32"/>
      <c r="Y14" s="32">
        <f t="shared" si="2"/>
        <v>11278.7254901961</v>
      </c>
      <c r="Z14" s="32">
        <f t="shared" si="3"/>
        <v>225.574509803922</v>
      </c>
      <c r="AA14" s="34">
        <v>0</v>
      </c>
      <c r="AB14" s="24">
        <v>0.053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ht="14.25" spans="1:34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0.053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ht="14.25" spans="1:34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ht="14.25" spans="1:34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ht="14.25" spans="1:34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-0.369999999998981</v>
      </c>
      <c r="T18" s="31"/>
      <c r="U18" s="32">
        <v>0</v>
      </c>
      <c r="V18" s="32">
        <f t="shared" si="4"/>
        <v>-0.369999999998981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ht="14.25" spans="1:34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ht="14.25" spans="1:34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ht="14.25" spans="1:34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-5023.61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ht="14.25" spans="1:34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ht="14.25" spans="1:34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ht="14.25" spans="1:34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4770.4</v>
      </c>
      <c r="T24" s="31"/>
      <c r="U24" s="32">
        <v>0</v>
      </c>
      <c r="V24" s="32">
        <f t="shared" si="5"/>
        <v>4770.4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ht="14.25" spans="1:34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5023.61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ht="14.25" spans="1:34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ht="14.25" spans="1:34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ht="14.25" spans="1:34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4706.9</v>
      </c>
      <c r="T28" s="31"/>
      <c r="U28" s="32">
        <v>0</v>
      </c>
      <c r="V28" s="32">
        <f t="shared" ref="V28:V91" si="6">S28+T28-U28</f>
        <v>4706.9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ht="14.25" spans="1:34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ht="14.25" spans="1:34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ht="14.25" spans="1:34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ht="14.25" spans="1:34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ht="14.25" spans="1:34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ht="14.25" spans="1:34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</v>
      </c>
      <c r="T34" s="31"/>
      <c r="U34" s="32"/>
      <c r="V34" s="32">
        <f t="shared" si="6"/>
        <v>17796.74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ht="14.25" spans="1:34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2696.62</v>
      </c>
      <c r="AA35" s="31">
        <v>89826.6623484001</v>
      </c>
      <c r="AB35" s="23">
        <v>0.065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ht="14.25" spans="1:34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0.065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ht="14.25" spans="1:34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0.065</v>
      </c>
      <c r="AC37" s="36"/>
      <c r="AD37" s="36"/>
      <c r="AE37" s="31"/>
      <c r="AF37" s="31" t="s">
        <v>53</v>
      </c>
      <c r="AG37" s="23"/>
      <c r="AH37" s="38" t="e">
        <v>#N/A</v>
      </c>
    </row>
    <row r="38" ht="14.25" spans="1:34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19672.35</v>
      </c>
      <c r="T38" s="31"/>
      <c r="U38" s="32">
        <v>0</v>
      </c>
      <c r="V38" s="32">
        <f t="shared" si="6"/>
        <v>19672.35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ht="14.25" spans="1:34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0.065</v>
      </c>
      <c r="AC39" s="36"/>
      <c r="AD39" s="36"/>
      <c r="AE39" s="31"/>
      <c r="AF39" s="31" t="s">
        <v>53</v>
      </c>
      <c r="AG39" s="23"/>
      <c r="AH39" s="38" t="e">
        <v>#N/A</v>
      </c>
    </row>
    <row r="40" ht="14.25" spans="1:34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0.065</v>
      </c>
      <c r="AC40" s="36"/>
      <c r="AD40" s="36"/>
      <c r="AE40" s="31"/>
      <c r="AF40" s="31" t="s">
        <v>53</v>
      </c>
      <c r="AG40" s="23"/>
      <c r="AH40" s="38" t="e">
        <v>#N/A</v>
      </c>
    </row>
    <row r="41" ht="14.25" spans="1:34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0.065</v>
      </c>
      <c r="AC41" s="36"/>
      <c r="AD41" s="36"/>
      <c r="AE41" s="31"/>
      <c r="AF41" s="31" t="s">
        <v>53</v>
      </c>
      <c r="AG41" s="23"/>
      <c r="AH41" s="38" t="e">
        <v>#N/A</v>
      </c>
    </row>
    <row r="42" ht="14.25" spans="1:34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0.065</v>
      </c>
      <c r="AC42" s="36"/>
      <c r="AD42" s="36"/>
      <c r="AE42" s="31"/>
      <c r="AF42" s="31" t="s">
        <v>53</v>
      </c>
      <c r="AG42" s="23"/>
      <c r="AH42" s="38" t="e">
        <v>#N/A</v>
      </c>
    </row>
    <row r="43" ht="14.25" spans="1:34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36787.02</v>
      </c>
      <c r="T43" s="31"/>
      <c r="U43" s="32">
        <v>0</v>
      </c>
      <c r="V43" s="32">
        <f t="shared" si="6"/>
        <v>36787.02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0.065</v>
      </c>
      <c r="AC43" s="36"/>
      <c r="AD43" s="36"/>
      <c r="AE43" s="31"/>
      <c r="AF43" s="31" t="s">
        <v>53</v>
      </c>
      <c r="AG43" s="23"/>
      <c r="AH43" s="38" t="e">
        <v>#N/A</v>
      </c>
    </row>
    <row r="44" ht="14.25" spans="1:34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0.053</v>
      </c>
      <c r="AC44" s="36"/>
      <c r="AD44" s="36"/>
      <c r="AE44" s="31"/>
      <c r="AF44" s="31" t="s">
        <v>53</v>
      </c>
      <c r="AG44" s="23"/>
      <c r="AH44" s="38" t="e">
        <v>#N/A</v>
      </c>
    </row>
    <row r="45" ht="14.25" spans="1:34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</v>
      </c>
      <c r="AC45" s="36"/>
      <c r="AD45" s="36"/>
      <c r="AE45" s="31"/>
      <c r="AF45" s="31" t="s">
        <v>44</v>
      </c>
      <c r="AG45" s="23"/>
      <c r="AH45" s="38" t="e">
        <v>#N/A</v>
      </c>
    </row>
    <row r="46" ht="14.25" spans="1:34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</v>
      </c>
      <c r="AC46" s="36"/>
      <c r="AD46" s="36"/>
      <c r="AE46" s="31"/>
      <c r="AF46" s="31" t="s">
        <v>44</v>
      </c>
      <c r="AG46" s="23"/>
      <c r="AH46" s="38" t="e">
        <v>#N/A</v>
      </c>
    </row>
    <row r="47" ht="14.25" spans="1:34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</v>
      </c>
      <c r="AC47" s="36"/>
      <c r="AD47" s="36"/>
      <c r="AE47" s="31"/>
      <c r="AF47" s="31" t="s">
        <v>44</v>
      </c>
      <c r="AG47" s="23"/>
      <c r="AH47" s="38" t="e">
        <v>#N/A</v>
      </c>
    </row>
    <row r="48" ht="14.25" spans="1:34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</v>
      </c>
      <c r="AC48" s="36"/>
      <c r="AD48" s="36"/>
      <c r="AE48" s="31"/>
      <c r="AF48" s="31" t="s">
        <v>44</v>
      </c>
      <c r="AG48" s="23"/>
      <c r="AH48" s="38" t="e">
        <v>#N/A</v>
      </c>
    </row>
    <row r="49" ht="14.25" spans="1:34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0.07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0.065</v>
      </c>
      <c r="AC49" s="36"/>
      <c r="AD49" s="36"/>
      <c r="AE49" s="31"/>
      <c r="AF49" s="31" t="s">
        <v>53</v>
      </c>
      <c r="AG49" s="23"/>
      <c r="AH49" s="38" t="e">
        <v>#N/A</v>
      </c>
    </row>
    <row r="50" ht="14.25" spans="1:34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0.07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0.065</v>
      </c>
      <c r="AC50" s="36"/>
      <c r="AD50" s="36"/>
      <c r="AE50" s="31"/>
      <c r="AF50" s="31" t="s">
        <v>53</v>
      </c>
      <c r="AG50" s="23"/>
      <c r="AH50" s="38" t="e">
        <v>#N/A</v>
      </c>
    </row>
    <row r="51" ht="14.25" spans="1:34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0.07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0.065</v>
      </c>
      <c r="AC51" s="36"/>
      <c r="AD51" s="36"/>
      <c r="AE51" s="31"/>
      <c r="AF51" s="31" t="s">
        <v>53</v>
      </c>
      <c r="AG51" s="23"/>
      <c r="AH51" s="38" t="e">
        <v>#N/A</v>
      </c>
    </row>
    <row r="52" ht="14.25" spans="1:34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0.07</v>
      </c>
      <c r="Q52" s="29">
        <v>7957</v>
      </c>
      <c r="R52" s="30"/>
      <c r="S52" s="31">
        <v>10079.87</v>
      </c>
      <c r="T52" s="31"/>
      <c r="U52" s="32">
        <v>0</v>
      </c>
      <c r="V52" s="32">
        <f t="shared" si="6"/>
        <v>10079.87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0.053</v>
      </c>
      <c r="AC52" s="36"/>
      <c r="AD52" s="36"/>
      <c r="AE52" s="31"/>
      <c r="AF52" s="31" t="s">
        <v>53</v>
      </c>
      <c r="AG52" s="23"/>
      <c r="AH52" s="38" t="e">
        <v>#N/A</v>
      </c>
    </row>
    <row r="53" ht="14.25" spans="1:34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0.065</v>
      </c>
      <c r="AC53" s="36"/>
      <c r="AD53" s="36"/>
      <c r="AE53" s="31"/>
      <c r="AF53" s="31" t="s">
        <v>53</v>
      </c>
      <c r="AG53" s="23"/>
      <c r="AH53" s="38" t="e">
        <v>#N/A</v>
      </c>
    </row>
    <row r="54" ht="14.25" spans="1:34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4589.70000000002</v>
      </c>
      <c r="T54" s="31"/>
      <c r="U54" s="31">
        <v>4589.70000000002</v>
      </c>
      <c r="V54" s="32">
        <f t="shared" si="6"/>
        <v>0</v>
      </c>
      <c r="W54" s="32">
        <f t="shared" si="1"/>
        <v>4456.01941747575</v>
      </c>
      <c r="X54" s="32"/>
      <c r="Y54" s="32">
        <f t="shared" si="2"/>
        <v>4456.01941747575</v>
      </c>
      <c r="Z54" s="32">
        <f t="shared" si="3"/>
        <v>133.680582524273</v>
      </c>
      <c r="AA54" s="31">
        <v>0</v>
      </c>
      <c r="AB54" s="23">
        <v>0.065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ht="14.25" spans="1:34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</v>
      </c>
      <c r="V55" s="32">
        <f t="shared" si="6"/>
        <v>3296.10000000002</v>
      </c>
      <c r="W55" s="32">
        <f t="shared" si="1"/>
        <v>1703.89999999998</v>
      </c>
      <c r="X55" s="32"/>
      <c r="Y55" s="32">
        <f t="shared" si="2"/>
        <v>1703.89999999998</v>
      </c>
      <c r="Z55" s="32">
        <f t="shared" si="3"/>
        <v>0</v>
      </c>
      <c r="AA55" s="31">
        <v>2175.30485156132</v>
      </c>
      <c r="AB55" s="23">
        <v>0.065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ht="14.25" spans="1:34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ht="14.25" spans="1:34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ht="14.25" spans="1:34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ht="14.25" spans="1:34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ht="14.25" spans="1:34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ht="14.25" spans="1:34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ht="14.25" spans="1:34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9590.97999999998</v>
      </c>
      <c r="T62" s="31">
        <v>-9609.98</v>
      </c>
      <c r="U62" s="32">
        <v>0</v>
      </c>
      <c r="V62" s="32">
        <f t="shared" si="6"/>
        <v>-19.00000000002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0.065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ht="14.25" spans="1:34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</v>
      </c>
      <c r="AA63" s="31">
        <v>2142.95317142497</v>
      </c>
      <c r="AB63" s="23">
        <v>0.065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ht="14.25" spans="1:34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0.065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ht="14.25" spans="1:34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-5061.69</v>
      </c>
      <c r="U65" s="32">
        <v>10470.47</v>
      </c>
      <c r="V65" s="32">
        <f t="shared" si="6"/>
        <v>0</v>
      </c>
      <c r="W65" s="32">
        <f t="shared" si="1"/>
        <v>10470.47</v>
      </c>
      <c r="X65" s="32"/>
      <c r="Y65" s="32">
        <f t="shared" si="7"/>
        <v>10470.47</v>
      </c>
      <c r="Z65" s="32">
        <f t="shared" si="8"/>
        <v>0</v>
      </c>
      <c r="AA65" s="31">
        <v>3618.98820851774</v>
      </c>
      <c r="AB65" s="23">
        <v>0.065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ht="14.25" spans="1:34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7131.36274509804</v>
      </c>
      <c r="X66" s="32"/>
      <c r="Y66" s="32">
        <f t="shared" si="7"/>
        <v>7131.36274509804</v>
      </c>
      <c r="Z66" s="32">
        <f t="shared" si="8"/>
        <v>142.627254901961</v>
      </c>
      <c r="AA66" s="34">
        <v>0</v>
      </c>
      <c r="AB66" s="24">
        <v>0.053</v>
      </c>
      <c r="AC66" s="36"/>
      <c r="AD66" s="36"/>
      <c r="AE66" s="34"/>
      <c r="AF66" s="34" t="s">
        <v>53</v>
      </c>
      <c r="AG66" s="24"/>
      <c r="AH66" s="38" t="e">
        <v>#N/A</v>
      </c>
    </row>
    <row r="67" ht="14.25" spans="1:34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</v>
      </c>
      <c r="T67" s="34">
        <v>170000</v>
      </c>
      <c r="U67" s="32">
        <v>101033.91</v>
      </c>
      <c r="V67" s="32">
        <f t="shared" si="6"/>
        <v>77841.04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</v>
      </c>
      <c r="AA67" s="34">
        <v>108307.9</v>
      </c>
      <c r="AB67" s="24">
        <v>0.053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ht="14.25" spans="1:34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0.053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ht="14.25" spans="1:34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0.053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ht="14.25" spans="1:34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83929.4285714286</v>
      </c>
      <c r="X70" s="32"/>
      <c r="Y70" s="32">
        <f t="shared" si="7"/>
        <v>83929.4285714286</v>
      </c>
      <c r="Z70" s="32">
        <f t="shared" si="10"/>
        <v>4196.47142857143</v>
      </c>
      <c r="AA70" s="34">
        <v>0</v>
      </c>
      <c r="AB70" s="24">
        <v>0.133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ht="14.25" spans="1:34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</v>
      </c>
      <c r="X71" s="32"/>
      <c r="Y71" s="32">
        <f t="shared" si="7"/>
        <v>-80114.4545454545</v>
      </c>
      <c r="Z71" s="32">
        <f t="shared" si="10"/>
        <v>-8011.44545454546</v>
      </c>
      <c r="AA71" s="34">
        <v>0</v>
      </c>
      <c r="AB71" s="24">
        <v>0.133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ht="14.25" spans="1:34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0.07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347712.140186916</v>
      </c>
      <c r="X72" s="32"/>
      <c r="Y72" s="32">
        <f t="shared" si="7"/>
        <v>347712.140186916</v>
      </c>
      <c r="Z72" s="32">
        <f t="shared" si="10"/>
        <v>24339.8498130841</v>
      </c>
      <c r="AA72" s="34">
        <v>0</v>
      </c>
      <c r="AB72" s="24">
        <v>0.07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ht="14.25" spans="1:34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0.07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ht="14.25" spans="1:34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</v>
      </c>
      <c r="T74" s="31"/>
      <c r="U74" s="32">
        <v>0</v>
      </c>
      <c r="V74" s="32">
        <f t="shared" si="6"/>
        <v>4469.6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0.065</v>
      </c>
      <c r="AC74" s="36"/>
      <c r="AD74" s="36"/>
      <c r="AE74" s="31"/>
      <c r="AF74" s="31" t="s">
        <v>53</v>
      </c>
      <c r="AG74" s="23"/>
      <c r="AH74" s="38" t="e">
        <v>#N/A</v>
      </c>
    </row>
    <row r="75" ht="14.25" spans="1:34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ht="14.25" spans="1:34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ht="14.25" spans="1:34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</v>
      </c>
      <c r="AC77" s="36"/>
      <c r="AD77" s="36"/>
      <c r="AE77" s="31"/>
      <c r="AF77" s="31" t="s">
        <v>53</v>
      </c>
      <c r="AG77" s="23"/>
      <c r="AH77" s="38" t="e">
        <v>#N/A</v>
      </c>
    </row>
    <row r="78" ht="14.25" spans="1:34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0.065</v>
      </c>
      <c r="AC78" s="36"/>
      <c r="AD78" s="36"/>
      <c r="AE78" s="31"/>
      <c r="AF78" s="31" t="s">
        <v>53</v>
      </c>
      <c r="AG78" s="23"/>
      <c r="AH78" s="38" t="e">
        <v>#N/A</v>
      </c>
    </row>
    <row r="79" ht="14.25" spans="1:34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0.065</v>
      </c>
      <c r="AC79" s="36"/>
      <c r="AD79" s="36"/>
      <c r="AE79" s="31"/>
      <c r="AF79" s="31" t="s">
        <v>53</v>
      </c>
      <c r="AG79" s="23"/>
      <c r="AH79" s="38" t="e">
        <v>#N/A</v>
      </c>
    </row>
    <row r="80" ht="14.25" spans="1:34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</v>
      </c>
      <c r="X80" s="32"/>
      <c r="Y80" s="32">
        <f t="shared" si="7"/>
        <v>11706.8431372549</v>
      </c>
      <c r="Z80" s="32">
        <f t="shared" si="10"/>
        <v>234.136862745097</v>
      </c>
      <c r="AA80" s="31">
        <v>11940.98</v>
      </c>
      <c r="AB80" s="23">
        <v>0.053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ht="14.25" spans="1:34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</v>
      </c>
      <c r="X81" s="32"/>
      <c r="Y81" s="32">
        <f t="shared" si="7"/>
        <v>29785.7156862745</v>
      </c>
      <c r="Z81" s="32">
        <f t="shared" si="10"/>
        <v>595.71431372549</v>
      </c>
      <c r="AA81" s="31">
        <v>30381.43</v>
      </c>
      <c r="AB81" s="23">
        <v>0.053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ht="14.25" spans="1:34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0.07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0.07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ht="14.25" spans="1:34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0.065</v>
      </c>
      <c r="AC83" s="36"/>
      <c r="AD83" s="36"/>
      <c r="AE83" s="31"/>
      <c r="AF83" s="31" t="s">
        <v>53</v>
      </c>
      <c r="AG83" s="23"/>
      <c r="AH83" s="38" t="e">
        <v>#N/A</v>
      </c>
    </row>
    <row r="84" ht="14.25" spans="1:34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0.065</v>
      </c>
      <c r="AC84" s="36"/>
      <c r="AD84" s="36"/>
      <c r="AE84" s="31"/>
      <c r="AF84" s="31" t="s">
        <v>53</v>
      </c>
      <c r="AG84" s="23"/>
      <c r="AH84" s="38" t="e">
        <v>#N/A</v>
      </c>
    </row>
    <row r="85" ht="14.25" spans="1:34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0.065</v>
      </c>
      <c r="AC85" s="36"/>
      <c r="AD85" s="36"/>
      <c r="AE85" s="31"/>
      <c r="AF85" s="31" t="s">
        <v>53</v>
      </c>
      <c r="AG85" s="23"/>
      <c r="AH85" s="38" t="e">
        <v>#N/A</v>
      </c>
    </row>
    <row r="86" ht="14.25" spans="1:34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0.065</v>
      </c>
      <c r="AC86" s="36"/>
      <c r="AD86" s="36"/>
      <c r="AE86" s="31"/>
      <c r="AF86" s="31" t="s">
        <v>53</v>
      </c>
      <c r="AG86" s="23"/>
      <c r="AH86" s="38" t="e">
        <v>#N/A</v>
      </c>
    </row>
    <row r="87" ht="14.25" spans="1:34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0.065</v>
      </c>
      <c r="AC87" s="36"/>
      <c r="AD87" s="36"/>
      <c r="AE87" s="31"/>
      <c r="AF87" s="31" t="s">
        <v>53</v>
      </c>
      <c r="AG87" s="23"/>
      <c r="AH87" s="38" t="e">
        <v>#N/A</v>
      </c>
    </row>
    <row r="88" ht="14.25" spans="1:34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0.065</v>
      </c>
      <c r="AC88" s="36"/>
      <c r="AD88" s="36"/>
      <c r="AE88" s="31"/>
      <c r="AF88" s="31" t="s">
        <v>53</v>
      </c>
      <c r="AG88" s="23"/>
      <c r="AH88" s="38" t="e">
        <v>#N/A</v>
      </c>
    </row>
    <row r="89" ht="14.25" spans="1:34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0.065</v>
      </c>
      <c r="AC89" s="36"/>
      <c r="AD89" s="36"/>
      <c r="AE89" s="31"/>
      <c r="AF89" s="31" t="s">
        <v>53</v>
      </c>
      <c r="AG89" s="23"/>
      <c r="AH89" s="38" t="e">
        <v>#N/A</v>
      </c>
    </row>
    <row r="90" ht="14.25" spans="1:34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0.065</v>
      </c>
      <c r="AC90" s="36"/>
      <c r="AD90" s="36"/>
      <c r="AE90" s="31"/>
      <c r="AF90" s="31" t="s">
        <v>53</v>
      </c>
      <c r="AG90" s="23"/>
      <c r="AH90" s="38" t="e">
        <v>#N/A</v>
      </c>
    </row>
    <row r="91" ht="14.25" spans="1:34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6946.65999999997</v>
      </c>
      <c r="T91" s="34"/>
      <c r="U91" s="32">
        <v>0</v>
      </c>
      <c r="V91" s="32">
        <f t="shared" si="6"/>
        <v>6946.65999999997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0.07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ht="14.25" spans="1:34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0.053</v>
      </c>
      <c r="AC92" s="36"/>
      <c r="AD92" s="36"/>
      <c r="AE92" s="31"/>
      <c r="AF92" s="31" t="s">
        <v>53</v>
      </c>
      <c r="AG92" s="23"/>
      <c r="AH92" s="38" t="e">
        <v>#N/A</v>
      </c>
    </row>
    <row r="93" ht="14.25" spans="1:34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0.053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ht="14.25" spans="1:34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0.065</v>
      </c>
      <c r="AC94" s="36"/>
      <c r="AD94" s="36"/>
      <c r="AE94" s="31"/>
      <c r="AF94" s="31" t="s">
        <v>53</v>
      </c>
      <c r="AG94" s="23"/>
      <c r="AH94" s="38" t="e">
        <v>#N/A</v>
      </c>
    </row>
    <row r="95" ht="14.25" spans="1:34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ht="14.25" spans="1:34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0.065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ht="14.25" spans="1:34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-4802.4</v>
      </c>
      <c r="T97" s="31"/>
      <c r="U97" s="32">
        <v>0</v>
      </c>
      <c r="V97" s="32">
        <v>-23.2999999999938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0.065</v>
      </c>
      <c r="AC97" s="36"/>
      <c r="AD97" s="36"/>
      <c r="AE97" s="31"/>
      <c r="AF97" s="31" t="s">
        <v>44</v>
      </c>
      <c r="AG97" s="23"/>
      <c r="AH97" s="38" t="e">
        <v>#N/A</v>
      </c>
    </row>
    <row r="98" ht="14.25" spans="1:34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</v>
      </c>
      <c r="AC98" s="36"/>
      <c r="AD98" s="36"/>
      <c r="AE98" s="31"/>
      <c r="AF98" s="31" t="s">
        <v>44</v>
      </c>
      <c r="AG98" s="23"/>
      <c r="AH98" s="38" t="e">
        <v>#N/A</v>
      </c>
    </row>
    <row r="99" ht="14.25" spans="1:34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0.07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ht="14.25" spans="1:34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0.07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ht="14.25" spans="1:34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</v>
      </c>
      <c r="X101" s="32"/>
      <c r="Y101" s="32">
        <f t="shared" si="7"/>
        <v>893161.088235294</v>
      </c>
      <c r="Z101" s="32">
        <f t="shared" si="10"/>
        <v>17863.2217647058</v>
      </c>
      <c r="AA101" s="31">
        <v>911024.31</v>
      </c>
      <c r="AB101" s="23">
        <v>0.053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ht="14.25" spans="1:34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25719.6</v>
      </c>
      <c r="T102" s="31"/>
      <c r="U102" s="32">
        <v>0</v>
      </c>
      <c r="V102" s="32">
        <f t="shared" si="12"/>
        <v>25719.6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ht="14.25" spans="1:34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43</v>
      </c>
      <c r="P103" s="24">
        <v>0.07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11324.13</v>
      </c>
      <c r="W103" s="32">
        <f t="shared" si="9"/>
        <v>22321.7009345794</v>
      </c>
      <c r="X103" s="32"/>
      <c r="Y103" s="32">
        <f t="shared" si="7"/>
        <v>22321.7009345794</v>
      </c>
      <c r="Z103" s="32">
        <f t="shared" si="10"/>
        <v>1562.51906542056</v>
      </c>
      <c r="AA103" s="34">
        <v>23884.22</v>
      </c>
      <c r="AB103" s="24">
        <v>0.133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ht="14.25" spans="1:34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43</v>
      </c>
      <c r="P104" s="24">
        <v>0.02</v>
      </c>
      <c r="Q104" s="33">
        <v>20942</v>
      </c>
      <c r="R104" s="30"/>
      <c r="S104" s="34">
        <v>81.640000000014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306024.568627451</v>
      </c>
      <c r="X104" s="32"/>
      <c r="Y104" s="32">
        <f t="shared" si="7"/>
        <v>306024.568627451</v>
      </c>
      <c r="Z104" s="32">
        <f t="shared" si="10"/>
        <v>6120.49137254903</v>
      </c>
      <c r="AA104" s="34">
        <v>448701.46</v>
      </c>
      <c r="AB104" s="24">
        <v>0.053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ht="14.25" spans="1:34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43</v>
      </c>
      <c r="P105" s="24">
        <v>0.02</v>
      </c>
      <c r="Q105" s="33">
        <v>20942</v>
      </c>
      <c r="R105" s="30"/>
      <c r="S105" s="34">
        <v>134238.95</v>
      </c>
      <c r="T105" s="34"/>
      <c r="U105" s="34">
        <v>134238.95</v>
      </c>
      <c r="V105" s="32">
        <f t="shared" si="12"/>
        <v>0</v>
      </c>
      <c r="W105" s="32">
        <f t="shared" si="9"/>
        <v>131606.81372549</v>
      </c>
      <c r="X105" s="32"/>
      <c r="Y105" s="32">
        <f t="shared" si="7"/>
        <v>131606.81372549</v>
      </c>
      <c r="Z105" s="32">
        <f t="shared" si="10"/>
        <v>2632.1362745098</v>
      </c>
      <c r="AA105" s="34">
        <v>0</v>
      </c>
      <c r="AB105" s="24">
        <v>0.053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ht="14.25" spans="1:34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43</v>
      </c>
      <c r="P106" s="24">
        <v>0.02</v>
      </c>
      <c r="Q106" s="33">
        <v>20942</v>
      </c>
      <c r="R106" s="30"/>
      <c r="S106" s="34">
        <v>2317.45</v>
      </c>
      <c r="T106" s="34"/>
      <c r="U106" s="34">
        <v>2317.45</v>
      </c>
      <c r="V106" s="32">
        <f t="shared" si="12"/>
        <v>0</v>
      </c>
      <c r="W106" s="32">
        <f t="shared" si="9"/>
        <v>2272.00980392157</v>
      </c>
      <c r="X106" s="32"/>
      <c r="Y106" s="32">
        <f t="shared" si="7"/>
        <v>2272.00980392157</v>
      </c>
      <c r="Z106" s="32">
        <f t="shared" si="10"/>
        <v>45.4401960784312</v>
      </c>
      <c r="AA106" s="34">
        <v>0</v>
      </c>
      <c r="AB106" s="24">
        <v>0.053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ht="14.25" spans="1:34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ht="14.25" spans="1:34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ht="14.25" spans="1:34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187347.84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ht="14.25" spans="1:34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</v>
      </c>
      <c r="T110" s="31"/>
      <c r="U110" s="32">
        <v>95.26</v>
      </c>
      <c r="V110" s="32">
        <f t="shared" si="13"/>
        <v>1.98951966012828e-13</v>
      </c>
      <c r="W110" s="32">
        <f t="shared" si="9"/>
        <v>91.5961538461539</v>
      </c>
      <c r="X110" s="32"/>
      <c r="Y110" s="32">
        <f t="shared" si="7"/>
        <v>91.5961538461539</v>
      </c>
      <c r="Z110" s="32">
        <f t="shared" si="10"/>
        <v>3.66384615384615</v>
      </c>
      <c r="AA110" s="31">
        <v>32.9254385661197</v>
      </c>
      <c r="AB110" s="23">
        <v>0.065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ht="14.25" spans="1:34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16505.1826923077</v>
      </c>
      <c r="X111" s="32"/>
      <c r="Y111" s="32">
        <f t="shared" si="7"/>
        <v>16505.1826923077</v>
      </c>
      <c r="Z111" s="32">
        <f t="shared" si="10"/>
        <v>660.207307692308</v>
      </c>
      <c r="AA111" s="31">
        <v>5933.00434503974</v>
      </c>
      <c r="AB111" s="23">
        <v>0.065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ht="14.25" spans="1:34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ht="14.25" spans="1:34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ht="14.25" spans="1:34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</v>
      </c>
      <c r="W114" s="32">
        <f t="shared" si="9"/>
        <v>28943.431372549</v>
      </c>
      <c r="X114" s="32"/>
      <c r="Y114" s="32">
        <f t="shared" si="7"/>
        <v>28943.431372549</v>
      </c>
      <c r="Z114" s="32">
        <f t="shared" si="10"/>
        <v>578.868627450982</v>
      </c>
      <c r="AA114" s="31">
        <v>14136.0770047069</v>
      </c>
      <c r="AB114" s="23">
        <v>0.065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ht="14.25" spans="1:34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20952.3235294118</v>
      </c>
      <c r="X115" s="32"/>
      <c r="Y115" s="32">
        <f t="shared" si="7"/>
        <v>20952.3235294118</v>
      </c>
      <c r="Z115" s="32">
        <f t="shared" si="10"/>
        <v>419.046470588237</v>
      </c>
      <c r="AA115" s="31">
        <v>12042.508534755</v>
      </c>
      <c r="AB115" s="23">
        <v>0.065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ht="14.25" spans="1:34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28861.09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</v>
      </c>
      <c r="AB116" s="23">
        <v>0.065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ht="14.25" spans="1:34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0.0999999999985448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0.07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ht="14.25" spans="1:34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</v>
      </c>
      <c r="U118" s="32">
        <v>3050.44</v>
      </c>
      <c r="V118" s="32">
        <f t="shared" si="13"/>
        <v>0</v>
      </c>
      <c r="W118" s="32">
        <f t="shared" si="9"/>
        <v>2961.59223300971</v>
      </c>
      <c r="X118" s="32"/>
      <c r="Y118" s="32">
        <f t="shared" si="7"/>
        <v>2961.59223300971</v>
      </c>
      <c r="Z118" s="32">
        <f t="shared" si="10"/>
        <v>88.8477669902913</v>
      </c>
      <c r="AA118" s="31">
        <v>1054.34678584542</v>
      </c>
      <c r="AB118" s="23">
        <v>0.065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ht="14.25" spans="1:34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0.053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ht="14.25" spans="1:34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25818.39766</v>
      </c>
      <c r="T120" s="31"/>
      <c r="U120" s="32"/>
      <c r="V120" s="32">
        <f t="shared" si="13"/>
        <v>25818.39766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ht="14.25" spans="1:34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0.07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ht="14.25" spans="1:34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ht="14.25" spans="1:34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</v>
      </c>
      <c r="V123" s="32">
        <f t="shared" ref="V123:V135" si="14">S123+T123-U123</f>
        <v>5740.8</v>
      </c>
      <c r="W123" s="32">
        <f t="shared" si="9"/>
        <v>25259.2</v>
      </c>
      <c r="X123" s="32"/>
      <c r="Y123" s="32">
        <f t="shared" si="7"/>
        <v>25259.2</v>
      </c>
      <c r="Z123" s="32">
        <f t="shared" si="10"/>
        <v>0</v>
      </c>
      <c r="AA123" s="31">
        <v>25259.2</v>
      </c>
      <c r="AB123" s="23">
        <v>0.165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ht="14.25" spans="1:34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0.065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ht="14.25" spans="1:34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</v>
      </c>
      <c r="X125" s="32"/>
      <c r="Y125" s="32">
        <f t="shared" si="7"/>
        <v>11153.1862745098</v>
      </c>
      <c r="Z125" s="32">
        <f t="shared" si="10"/>
        <v>223.063725490196</v>
      </c>
      <c r="AA125" s="31">
        <v>0</v>
      </c>
      <c r="AB125" s="23">
        <v>0.065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ht="14.25" spans="1:34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ht="14.25" spans="1:34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8.7</v>
      </c>
      <c r="T127" s="31"/>
      <c r="U127" s="32">
        <v>0</v>
      </c>
      <c r="V127" s="32">
        <f t="shared" si="14"/>
        <v>8.7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ht="14.25" spans="1:34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70475.4</v>
      </c>
      <c r="V128" s="32">
        <f t="shared" si="14"/>
        <v>11124.6</v>
      </c>
      <c r="W128" s="32">
        <f t="shared" si="9"/>
        <v>69093.5294117647</v>
      </c>
      <c r="X128" s="32"/>
      <c r="Y128" s="32">
        <f t="shared" si="15"/>
        <v>69093.5294117647</v>
      </c>
      <c r="Z128" s="32">
        <f t="shared" si="10"/>
        <v>1381.8705882353</v>
      </c>
      <c r="AA128" s="31">
        <v>70475.4</v>
      </c>
      <c r="AB128" s="23">
        <v>0.165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ht="14.25" spans="1:34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ht="14.25" spans="1:34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ht="14.25" spans="1:34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</v>
      </c>
      <c r="X131" s="32"/>
      <c r="Y131" s="32">
        <f t="shared" si="15"/>
        <v>48257.6336633663</v>
      </c>
      <c r="Z131" s="32">
        <f t="shared" si="10"/>
        <v>482.576336633661</v>
      </c>
      <c r="AA131" s="34">
        <v>61956</v>
      </c>
      <c r="AB131" s="24">
        <v>0.053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ht="14.25" spans="1:34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0.053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ht="14.25" spans="1:34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0.053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ht="14.25" spans="1:34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</v>
      </c>
      <c r="X134" s="32"/>
      <c r="Y134" s="32">
        <f t="shared" si="15"/>
        <v>15784.2156862745</v>
      </c>
      <c r="Z134" s="32">
        <f t="shared" si="17"/>
        <v>315.684313725491</v>
      </c>
      <c r="AA134" s="31">
        <v>0</v>
      </c>
      <c r="AB134" s="23">
        <v>0.065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ht="14.25" spans="1:34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0.065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ht="14.25" spans="1:34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0.0100000000020373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0.053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ht="14.25" spans="1:34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0.053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ht="14.25" spans="1:34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0.053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ht="14.25" spans="1:34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0.053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ht="14.25" spans="1:34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82</v>
      </c>
      <c r="P140" s="23">
        <v>0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0.0100000000002183</v>
      </c>
      <c r="W140" s="32">
        <f t="shared" si="16"/>
        <v>2734.24</v>
      </c>
      <c r="X140" s="32"/>
      <c r="Y140" s="32">
        <f t="shared" si="15"/>
        <v>2734.24</v>
      </c>
      <c r="Z140" s="32">
        <f t="shared" si="17"/>
        <v>0</v>
      </c>
      <c r="AA140" s="31">
        <v>2734.24</v>
      </c>
      <c r="AB140" s="23">
        <v>0.053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ht="14.25" spans="1:34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0.065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ht="14.25" spans="1:34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ht="14.25" spans="1:34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</v>
      </c>
      <c r="X143" s="32"/>
      <c r="Y143" s="32">
        <f t="shared" si="15"/>
        <v>16895.0857142857</v>
      </c>
      <c r="Z143" s="32">
        <f t="shared" si="17"/>
        <v>844.754285714287</v>
      </c>
      <c r="AA143" s="34">
        <v>0</v>
      </c>
      <c r="AB143" s="24">
        <v>0.053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ht="14.25" spans="1:34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-4466.19</v>
      </c>
      <c r="T144" s="31"/>
      <c r="U144" s="32">
        <v>0</v>
      </c>
      <c r="V144" s="32">
        <f t="shared" si="18"/>
        <v>-4466.19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ht="14.25" spans="1:34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</v>
      </c>
      <c r="T145" s="31"/>
      <c r="U145" s="32">
        <v>0</v>
      </c>
      <c r="V145" s="32">
        <f t="shared" si="18"/>
        <v>10083.37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0.065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ht="14.25" spans="1:34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</v>
      </c>
      <c r="X146" s="32"/>
      <c r="Y146" s="32">
        <f t="shared" si="15"/>
        <v>150840.128712871</v>
      </c>
      <c r="Z146" s="32">
        <f t="shared" si="17"/>
        <v>1508.40128712871</v>
      </c>
      <c r="AA146" s="31">
        <v>152348.53</v>
      </c>
      <c r="AB146" s="23">
        <v>0.053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ht="14.25" spans="1:34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ht="14.25" spans="1:34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ht="14.25" spans="1:34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</v>
      </c>
      <c r="AB149" s="23">
        <v>0.065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ht="14.25" spans="1:34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0.065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ht="14.25" spans="1:34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</v>
      </c>
      <c r="X151" s="32"/>
      <c r="Y151" s="32"/>
      <c r="Z151" s="32">
        <f t="shared" si="17"/>
        <v>2874.54904761905</v>
      </c>
      <c r="AA151" s="31">
        <v>31782.487579388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ht="14.25" spans="1:34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150689.32038835</v>
      </c>
      <c r="X152" s="32"/>
      <c r="Y152" s="32"/>
      <c r="Z152" s="32">
        <f t="shared" si="17"/>
        <v>4520.6796116505</v>
      </c>
      <c r="AA152" s="31">
        <v>53646.413183366</v>
      </c>
      <c r="AB152" s="23">
        <v>0.065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ht="14.25" spans="1:34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</v>
      </c>
      <c r="X153" s="32"/>
      <c r="Y153" s="32"/>
      <c r="Z153" s="32">
        <f t="shared" si="17"/>
        <v>1787.98188679246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ht="14.25" spans="1:34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0.065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ht="14.25" spans="1:34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0.065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ht="14.25" spans="1:34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ht="14.25" spans="1:34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0.065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ht="14.25" spans="1:34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0.065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ht="14.25" spans="1:34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0.065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ht="14.25" spans="1:34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0.053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ht="14.25" spans="1:34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0.065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ht="14.25" spans="1:34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</v>
      </c>
      <c r="T162" s="31"/>
      <c r="U162" s="32">
        <v>0</v>
      </c>
      <c r="V162" s="32">
        <f t="shared" si="18"/>
        <v>2238.3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ht="14.25" spans="1:34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</v>
      </c>
      <c r="AB163" s="23">
        <v>0.065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ht="14.25" spans="1:34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43</v>
      </c>
      <c r="P164" s="24">
        <v>0.03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90643.9417475728</v>
      </c>
      <c r="X164" s="32"/>
      <c r="Y164" s="32">
        <f t="shared" si="19"/>
        <v>90643.9417475728</v>
      </c>
      <c r="Z164" s="32">
        <f t="shared" si="17"/>
        <v>2719.31825242718</v>
      </c>
      <c r="AA164" s="34">
        <v>0</v>
      </c>
      <c r="AB164" s="24">
        <v>0.07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ht="14.25" spans="1:34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317713.07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0.07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ht="14.25" spans="1:34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ht="14.25" spans="1:34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2633.05</v>
      </c>
      <c r="W167" s="32">
        <f t="shared" si="16"/>
        <v>15235.068627451</v>
      </c>
      <c r="X167" s="32"/>
      <c r="Y167" s="32">
        <f t="shared" si="19"/>
        <v>15235.068627451</v>
      </c>
      <c r="Z167" s="32">
        <f t="shared" si="17"/>
        <v>304.70137254902</v>
      </c>
      <c r="AA167" s="31">
        <v>5371.12893624428</v>
      </c>
      <c r="AB167" s="23">
        <v>0.065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ht="14.25" spans="1:34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36699.09</v>
      </c>
      <c r="T168" s="31"/>
      <c r="U168" s="32">
        <v>30261.93</v>
      </c>
      <c r="V168" s="32">
        <f t="shared" si="18"/>
        <v>6437.16</v>
      </c>
      <c r="W168" s="32">
        <f t="shared" si="16"/>
        <v>29668.5588235294</v>
      </c>
      <c r="X168" s="32"/>
      <c r="Y168" s="32">
        <f t="shared" si="19"/>
        <v>29668.5588235294</v>
      </c>
      <c r="Z168" s="32">
        <f t="shared" si="17"/>
        <v>593.371176470588</v>
      </c>
      <c r="AA168" s="31">
        <v>10459.661107571</v>
      </c>
      <c r="AB168" s="23">
        <v>0.065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ht="14.25" spans="1:34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0.053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ht="14.25" spans="1:34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ht="14.25" spans="1:34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4257.4</v>
      </c>
      <c r="T171" s="31"/>
      <c r="U171" s="32">
        <v>0</v>
      </c>
      <c r="V171" s="32">
        <f t="shared" si="18"/>
        <v>4257.4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0.053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ht="14.25" spans="1:34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6039.84438613961</v>
      </c>
      <c r="AB172" s="23">
        <v>0.065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ht="14.25" spans="1:34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17888.12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ht="14.25" spans="1:34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ht="14.25" spans="1:34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146413.58</v>
      </c>
      <c r="T175" s="34">
        <v>750000</v>
      </c>
      <c r="U175" s="32">
        <v>748526.99</v>
      </c>
      <c r="V175" s="32">
        <f t="shared" si="18"/>
        <v>147886.59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0.053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ht="14.25" spans="1:34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3980.69999999999</v>
      </c>
      <c r="T176" s="31"/>
      <c r="U176" s="32">
        <v>0</v>
      </c>
      <c r="V176" s="32">
        <f t="shared" si="18"/>
        <v>3980.69999999999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0.065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ht="14.25" spans="1:34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450962.300970874</v>
      </c>
      <c r="X177" s="32"/>
      <c r="Y177" s="32">
        <f t="shared" si="19"/>
        <v>450962.300970874</v>
      </c>
      <c r="Z177" s="32">
        <f t="shared" si="17"/>
        <v>13528.8690291262</v>
      </c>
      <c r="AA177" s="34">
        <v>0</v>
      </c>
      <c r="AB177" s="24">
        <v>0.07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ht="14.25" spans="1:34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0.07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ht="14.25" spans="1:34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</v>
      </c>
      <c r="X179" s="32"/>
      <c r="Y179" s="32">
        <f t="shared" si="19"/>
        <v>56658.8333333333</v>
      </c>
      <c r="Z179" s="32">
        <f t="shared" si="17"/>
        <v>1133.17666666667</v>
      </c>
      <c r="AA179" s="34">
        <v>0</v>
      </c>
      <c r="AB179" s="24">
        <v>0.053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ht="14.25" spans="1:34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8437.88</v>
      </c>
      <c r="V180" s="32">
        <f t="shared" si="18"/>
        <v>41562.12</v>
      </c>
      <c r="W180" s="32">
        <f t="shared" si="16"/>
        <v>8437.88</v>
      </c>
      <c r="X180" s="32"/>
      <c r="Y180" s="32">
        <f t="shared" si="19"/>
        <v>8437.88</v>
      </c>
      <c r="Z180" s="32">
        <f t="shared" si="17"/>
        <v>0</v>
      </c>
      <c r="AA180" s="34">
        <v>66229.89</v>
      </c>
      <c r="AB180" s="24">
        <v>0.053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ht="14.25" spans="1:34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0.065</v>
      </c>
      <c r="AC181" s="36"/>
      <c r="AD181" s="36"/>
      <c r="AE181" s="31"/>
      <c r="AF181" s="31"/>
      <c r="AG181" s="23"/>
      <c r="AH181" s="38" t="e">
        <v>#N/A</v>
      </c>
    </row>
    <row r="182" ht="14.25" spans="1:34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21378.8</v>
      </c>
      <c r="T182" s="31">
        <v>4240</v>
      </c>
      <c r="U182" s="32">
        <v>19494.93</v>
      </c>
      <c r="V182" s="32">
        <f t="shared" si="18"/>
        <v>6123.87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6738.18097906576</v>
      </c>
      <c r="AB182" s="23">
        <v>0.065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ht="14.25" spans="1:34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0.053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ht="14.25" spans="1:34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ht="14.25" spans="1:34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ht="14.25" spans="1:34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33599.27</v>
      </c>
      <c r="T186" s="31"/>
      <c r="U186" s="32">
        <v>0</v>
      </c>
      <c r="V186" s="32">
        <f t="shared" si="18"/>
        <v>33599.27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0.065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ht="14.25" spans="1:34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0.065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ht="14.25" spans="1:34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1548.83962264151</v>
      </c>
      <c r="X188" s="32"/>
      <c r="Y188" s="32">
        <f t="shared" si="19"/>
        <v>1548.83962264151</v>
      </c>
      <c r="Z188" s="32">
        <f t="shared" si="17"/>
        <v>92.9303773584907</v>
      </c>
      <c r="AA188" s="31">
        <v>1641.77</v>
      </c>
      <c r="AB188" s="23">
        <v>0.133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ht="14.25" spans="1:34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ht="14.25" spans="1:34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</v>
      </c>
      <c r="X190" s="32"/>
      <c r="Y190" s="32">
        <f t="shared" si="19"/>
        <v>109730.362745098</v>
      </c>
      <c r="Z190" s="32">
        <f t="shared" si="17"/>
        <v>2194.60725490196</v>
      </c>
      <c r="AA190" s="31">
        <v>0</v>
      </c>
      <c r="AB190" s="23">
        <v>0.065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ht="14.25" spans="1:34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</v>
      </c>
      <c r="AB191" s="23">
        <v>0.065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ht="14.25" spans="1:34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0.065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ht="14.25" spans="1:34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</v>
      </c>
      <c r="W193" s="32">
        <f t="shared" si="16"/>
        <v>10929.6153846154</v>
      </c>
      <c r="X193" s="32"/>
      <c r="Y193" s="32">
        <f t="shared" si="19"/>
        <v>10929.6153846154</v>
      </c>
      <c r="Z193" s="32">
        <f t="shared" si="17"/>
        <v>437.184615384616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ht="14.25" spans="1:34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3928.79356596021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ht="14.25" spans="1:34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ht="14.25" spans="1:34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ht="14.25" spans="1:34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1849.44</v>
      </c>
      <c r="X197" s="32"/>
      <c r="Y197" s="32">
        <f t="shared" si="19"/>
        <v>1849.44</v>
      </c>
      <c r="Z197" s="32">
        <f t="shared" si="21"/>
        <v>-442.84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ht="14.25" spans="1:34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</v>
      </c>
      <c r="X198" s="32"/>
      <c r="Y198" s="32">
        <f t="shared" si="19"/>
        <v>3810.91176470588</v>
      </c>
      <c r="Z198" s="32">
        <f t="shared" si="21"/>
        <v>76.2182352941177</v>
      </c>
      <c r="AA198" s="34">
        <v>10418.95</v>
      </c>
      <c r="AB198" s="24">
        <v>0.165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ht="14.25" spans="1:34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ht="14.25" spans="1:34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ht="14.25" spans="1:34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ht="14.25" spans="1:34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ht="14.25" spans="1:34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0.053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ht="14.25" spans="1:34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</v>
      </c>
      <c r="X204" s="32"/>
      <c r="Y204" s="32">
        <f t="shared" si="19"/>
        <v>1364429.31372549</v>
      </c>
      <c r="Z204" s="32">
        <f t="shared" si="21"/>
        <v>27288.5862745098</v>
      </c>
      <c r="AA204" s="31">
        <v>481030.046376434</v>
      </c>
      <c r="AB204" s="23">
        <v>0.065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ht="14.25" spans="1:34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69705.7980769231</v>
      </c>
      <c r="X205" s="32"/>
      <c r="Y205" s="32">
        <f t="shared" si="19"/>
        <v>69705.7980769231</v>
      </c>
      <c r="Z205" s="32">
        <f t="shared" si="21"/>
        <v>2788.23192307692</v>
      </c>
      <c r="AA205" s="31">
        <v>34220.1555702774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ht="14.25" spans="1:34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73488.15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ht="14.25" spans="1:34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</v>
      </c>
      <c r="V207" s="32">
        <f t="shared" si="23"/>
        <v>22771.84</v>
      </c>
      <c r="W207" s="32">
        <f t="shared" si="22"/>
        <v>65909.9607843137</v>
      </c>
      <c r="X207" s="32"/>
      <c r="Y207" s="32">
        <f t="shared" si="19"/>
        <v>65909.9607843137</v>
      </c>
      <c r="Z207" s="32">
        <f t="shared" si="21"/>
        <v>1318.19921568627</v>
      </c>
      <c r="AA207" s="34">
        <v>84968</v>
      </c>
      <c r="AB207" s="24">
        <v>0.053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ht="14.25" spans="1:34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654538.723809524</v>
      </c>
      <c r="X208" s="32"/>
      <c r="Y208" s="32">
        <f t="shared" si="19"/>
        <v>654538.723809524</v>
      </c>
      <c r="Z208" s="32">
        <f t="shared" si="21"/>
        <v>32726.9361904762</v>
      </c>
      <c r="AA208" s="34">
        <v>687265.66</v>
      </c>
      <c r="AB208" s="24">
        <v>0.133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ht="14.25" spans="1:34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286991.6</v>
      </c>
      <c r="V209" s="32">
        <f t="shared" si="23"/>
        <v>1224155.63</v>
      </c>
      <c r="W209" s="32">
        <f t="shared" si="22"/>
        <v>281364.31372549</v>
      </c>
      <c r="X209" s="32"/>
      <c r="Y209" s="32">
        <f t="shared" si="19"/>
        <v>281364.31372549</v>
      </c>
      <c r="Z209" s="32">
        <f t="shared" si="21"/>
        <v>5627.2862745098</v>
      </c>
      <c r="AA209" s="34">
        <v>286991.6</v>
      </c>
      <c r="AB209" s="24">
        <v>0.053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ht="14.25" spans="1:34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</v>
      </c>
      <c r="X210" s="32"/>
      <c r="Y210" s="32">
        <f t="shared" si="19"/>
        <v>376567.695238095</v>
      </c>
      <c r="Z210" s="32">
        <f t="shared" si="21"/>
        <v>18828.3847619048</v>
      </c>
      <c r="AA210" s="34">
        <v>395396.08</v>
      </c>
      <c r="AB210" s="24">
        <v>0.133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ht="14.25" spans="1:34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430123.254901961</v>
      </c>
      <c r="X211" s="32"/>
      <c r="Y211" s="32">
        <f t="shared" si="19"/>
        <v>430123.254901961</v>
      </c>
      <c r="Z211" s="32">
        <f t="shared" si="21"/>
        <v>8602.46509803925</v>
      </c>
      <c r="AA211" s="34">
        <v>475094.11</v>
      </c>
      <c r="AB211" s="24">
        <v>0.053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ht="14.25" spans="1:34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34969.6057692308</v>
      </c>
      <c r="X212" s="32"/>
      <c r="Y212" s="32">
        <f t="shared" si="19"/>
        <v>34969.6057692308</v>
      </c>
      <c r="Z212" s="32">
        <f t="shared" si="21"/>
        <v>1398.78423076923</v>
      </c>
      <c r="AA212" s="34">
        <v>0</v>
      </c>
      <c r="AB212" s="24">
        <v>0.053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ht="14.25" spans="1:34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</v>
      </c>
      <c r="T213" s="31"/>
      <c r="U213" s="32"/>
      <c r="V213" s="32">
        <f t="shared" si="23"/>
        <v>1137087.54823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ht="14.25" spans="1:34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</v>
      </c>
      <c r="W214" s="32">
        <f t="shared" si="22"/>
        <v>118943.7</v>
      </c>
      <c r="X214" s="32">
        <f>W214*R214</f>
        <v>3568.311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ht="14.25" spans="1:34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43</v>
      </c>
      <c r="P215" s="24">
        <v>0.03</v>
      </c>
      <c r="Q215" s="33" t="s">
        <v>65</v>
      </c>
      <c r="R215" s="40"/>
      <c r="S215" s="34">
        <v>97563.2899999998</v>
      </c>
      <c r="T215" s="34"/>
      <c r="U215" s="34">
        <v>97563.2899999998</v>
      </c>
      <c r="V215" s="32">
        <f t="shared" si="23"/>
        <v>0</v>
      </c>
      <c r="W215" s="32">
        <f t="shared" si="22"/>
        <v>94721.6407766988</v>
      </c>
      <c r="X215" s="32"/>
      <c r="Y215" s="32">
        <f t="shared" si="19"/>
        <v>94721.6407766988</v>
      </c>
      <c r="Z215" s="32">
        <f t="shared" si="21"/>
        <v>2841.64922330096</v>
      </c>
      <c r="AA215" s="34">
        <v>0</v>
      </c>
      <c r="AB215" s="24">
        <v>0.07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ht="14.25" spans="1:34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0.07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ht="14.25" spans="1:34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</v>
      </c>
      <c r="T217" s="31"/>
      <c r="U217" s="32">
        <v>0</v>
      </c>
      <c r="V217" s="32">
        <f t="shared" si="23"/>
        <v>484.299999999998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ht="14.25" spans="1:34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0.065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ht="14.25" spans="1:34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9231.05</v>
      </c>
      <c r="T219" s="31"/>
      <c r="U219" s="32">
        <v>0</v>
      </c>
      <c r="V219" s="32">
        <f t="shared" si="23"/>
        <v>9231.05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0.065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ht="14.25" spans="1:34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0.065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ht="14.25" spans="1:34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ht="14.25" spans="1:34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ht="14.25" spans="1:34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ht="14.25" spans="1:34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93.5400000000009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ht="14.25" spans="1:34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ht="14.25" spans="1:34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</v>
      </c>
      <c r="T226" s="31"/>
      <c r="U226" s="32"/>
      <c r="V226" s="32">
        <f t="shared" si="23"/>
        <v>-3000.04345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ht="14.25" spans="1:34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0.07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ht="14.25" spans="1:34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4500.86</v>
      </c>
      <c r="T228" s="31"/>
      <c r="U228" s="32">
        <v>0</v>
      </c>
      <c r="V228" s="32">
        <f t="shared" si="23"/>
        <v>4500.86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0.065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ht="14.25" spans="1:34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</v>
      </c>
      <c r="X229" s="32"/>
      <c r="Y229" s="32">
        <f t="shared" si="24"/>
        <v>12311.5288461538</v>
      </c>
      <c r="Z229" s="32">
        <f t="shared" si="21"/>
        <v>492.461153846154</v>
      </c>
      <c r="AA229" s="34">
        <v>301291.25</v>
      </c>
      <c r="AB229" s="24">
        <v>0.133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ht="14.25" spans="1:34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ht="14.25" spans="1:34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505226.71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0.053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ht="14.25" spans="1:34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33806.59</v>
      </c>
      <c r="T232" s="31"/>
      <c r="U232" s="32">
        <v>0</v>
      </c>
      <c r="V232" s="32">
        <f t="shared" si="23"/>
        <v>33806.59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0.053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ht="14.25" spans="1:34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22814.9514563108</v>
      </c>
      <c r="X233" s="32"/>
      <c r="Y233" s="32">
        <f t="shared" si="24"/>
        <v>22814.9514563108</v>
      </c>
      <c r="Z233" s="32">
        <f t="shared" si="21"/>
        <v>684.448543689323</v>
      </c>
      <c r="AA233" s="34">
        <v>0</v>
      </c>
      <c r="AB233" s="24">
        <v>0.07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ht="14.25" spans="1:34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0.07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ht="14.25" spans="1:34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0.053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ht="14.25" spans="1:34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</v>
      </c>
      <c r="W236" s="32">
        <f t="shared" si="22"/>
        <v>2661.17647058824</v>
      </c>
      <c r="X236" s="32"/>
      <c r="Y236" s="32">
        <f t="shared" si="24"/>
        <v>2661.17647058824</v>
      </c>
      <c r="Z236" s="32">
        <f t="shared" si="21"/>
        <v>53.223529411765</v>
      </c>
      <c r="AA236" s="31">
        <v>938.198723954182</v>
      </c>
      <c r="AB236" s="23">
        <v>0.065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ht="14.25" spans="1:34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ht="14.25" spans="1:34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0.053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ht="14.25" spans="1:34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5283.01960784314</v>
      </c>
      <c r="X239" s="32"/>
      <c r="Y239" s="32">
        <f t="shared" si="24"/>
        <v>5283.01960784314</v>
      </c>
      <c r="Z239" s="32">
        <f t="shared" si="21"/>
        <v>105.660392156863</v>
      </c>
      <c r="AA239" s="31">
        <v>0</v>
      </c>
      <c r="AB239" s="23">
        <v>0.065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ht="14.25" spans="1:34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6745.95782525238</v>
      </c>
      <c r="AB240" s="23">
        <v>0.065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ht="14.25" spans="1:34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0.053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ht="14.25" spans="1:34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68775.51</v>
      </c>
      <c r="U242" s="32">
        <v>0</v>
      </c>
      <c r="V242" s="32">
        <f t="shared" si="23"/>
        <v>68775.51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0.053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ht="14.25" spans="1:34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21.5686274509804</v>
      </c>
      <c r="X243" s="32"/>
      <c r="Y243" s="32">
        <f t="shared" si="24"/>
        <v>21.5686274509804</v>
      </c>
      <c r="Z243" s="32">
        <f t="shared" si="21"/>
        <v>0.43137254901961</v>
      </c>
      <c r="AA243" s="31">
        <v>22</v>
      </c>
      <c r="AB243" s="23">
        <v>0.053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ht="14.25" spans="1:34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0.07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ht="14.25" spans="1:34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1142.85</v>
      </c>
      <c r="T245" s="34"/>
      <c r="U245" s="32">
        <v>0</v>
      </c>
      <c r="V245" s="32">
        <f t="shared" si="23"/>
        <v>1142.85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ht="14.25" spans="1:34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</v>
      </c>
      <c r="T246" s="34">
        <v>138127.43</v>
      </c>
      <c r="U246" s="32">
        <v>51.11</v>
      </c>
      <c r="V246" s="32">
        <f t="shared" si="23"/>
        <v>138113.93</v>
      </c>
      <c r="W246" s="32">
        <f t="shared" si="22"/>
        <v>50.1078431372549</v>
      </c>
      <c r="X246" s="32"/>
      <c r="Y246" s="32">
        <f t="shared" si="24"/>
        <v>50.1078431372549</v>
      </c>
      <c r="Z246" s="32">
        <f t="shared" si="21"/>
        <v>1.0021568627451</v>
      </c>
      <c r="AA246" s="34">
        <v>51.11</v>
      </c>
      <c r="AB246" s="24">
        <v>0.053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ht="14.25" spans="1:34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0.053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ht="14.25" spans="1:34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ht="14.25" spans="1:34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0.065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ht="14.25" spans="1:34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ht="14.25" spans="1:34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ht="14.25" spans="1:34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0.065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ht="14.25" spans="1:34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-2553.40740740741</v>
      </c>
      <c r="X253" s="32"/>
      <c r="Y253" s="32"/>
      <c r="Z253" s="32">
        <f t="shared" si="21"/>
        <v>2553.40740740741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ht="14.25" spans="1:34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1153.12</v>
      </c>
      <c r="T254" s="31"/>
      <c r="U254" s="32">
        <v>0</v>
      </c>
      <c r="V254" s="32">
        <f t="shared" si="23"/>
        <v>1153.12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</v>
      </c>
      <c r="AC254" s="36"/>
      <c r="AD254" s="36"/>
      <c r="AE254" s="31"/>
      <c r="AF254" s="31" t="s">
        <v>53</v>
      </c>
      <c r="AG254" s="23"/>
      <c r="AH254" s="38">
        <v>72</v>
      </c>
    </row>
    <row r="255" ht="14.25" spans="1:34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</v>
      </c>
      <c r="T255" s="31"/>
      <c r="U255" s="32">
        <v>0</v>
      </c>
      <c r="V255" s="32">
        <f t="shared" si="23"/>
        <v>9056.2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0.065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ht="14.25" spans="1:34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0.053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ht="14.25" spans="1:34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</v>
      </c>
      <c r="X257" s="32"/>
      <c r="Y257" s="32">
        <f t="shared" si="25"/>
        <v>8588.70588235294</v>
      </c>
      <c r="Z257" s="32">
        <f t="shared" si="21"/>
        <v>171.774117647059</v>
      </c>
      <c r="AA257" s="31">
        <v>8760.48</v>
      </c>
      <c r="AB257" s="23">
        <v>0.07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ht="14.25" spans="1:34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0.065</v>
      </c>
      <c r="AC258" s="36"/>
      <c r="AD258" s="36"/>
      <c r="AE258" s="31"/>
      <c r="AF258" s="31" t="s">
        <v>53</v>
      </c>
      <c r="AG258" s="23"/>
      <c r="AH258" s="38">
        <v>76</v>
      </c>
    </row>
    <row r="259" ht="14.25" spans="1:34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0.065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ht="14.25" spans="1:34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0.065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ht="14.25" spans="1:34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ht="14.25" spans="1:34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ht="14.25" spans="1:34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ht="14.25" spans="1:34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</v>
      </c>
      <c r="T264" s="34">
        <v>300000</v>
      </c>
      <c r="U264" s="32">
        <v>209112.89</v>
      </c>
      <c r="V264" s="32">
        <f t="shared" si="23"/>
        <v>241482.34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0.053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ht="14.25" spans="1:34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0.065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ht="14.25" spans="1:34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</v>
      </c>
      <c r="T266" s="34"/>
      <c r="U266" s="34">
        <v>71400.96</v>
      </c>
      <c r="V266" s="32">
        <f t="shared" si="29"/>
        <v>0</v>
      </c>
      <c r="W266" s="32">
        <f t="shared" si="26"/>
        <v>69321.3203883495</v>
      </c>
      <c r="X266" s="32"/>
      <c r="Y266" s="32">
        <f t="shared" si="27"/>
        <v>69321.3203883495</v>
      </c>
      <c r="Z266" s="32">
        <f t="shared" si="28"/>
        <v>2079.63961165049</v>
      </c>
      <c r="AA266" s="34">
        <v>0</v>
      </c>
      <c r="AB266" s="24">
        <v>0.07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ht="14.25" spans="1:34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209455.73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0.07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ht="14.25" spans="1:34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ht="14.25" spans="1:34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1177.1525</v>
      </c>
      <c r="Y269" s="32">
        <f t="shared" si="27"/>
        <v>24720.2025</v>
      </c>
      <c r="Z269" s="32">
        <f t="shared" si="28"/>
        <v>0</v>
      </c>
      <c r="AA269" s="31">
        <v>23543.05</v>
      </c>
      <c r="AB269" s="23">
        <v>0.165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ht="14.25" spans="1:34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ht="14.25" spans="1:34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ht="14.25" spans="1:34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</v>
      </c>
      <c r="X272" s="32">
        <f t="shared" si="30"/>
        <v>0.883653846153846</v>
      </c>
      <c r="Y272" s="32">
        <f t="shared" si="27"/>
        <v>18.5567307692308</v>
      </c>
      <c r="Z272" s="32">
        <f t="shared" si="28"/>
        <v>0.706923076923079</v>
      </c>
      <c r="AA272" s="34">
        <v>18.38</v>
      </c>
      <c r="AB272" s="24">
        <v>0.133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ht="14.25" spans="1:34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</v>
      </c>
      <c r="U273" s="32">
        <v>25.18</v>
      </c>
      <c r="V273" s="32">
        <v>0</v>
      </c>
      <c r="W273" s="32">
        <f t="shared" si="26"/>
        <v>24.6862745098039</v>
      </c>
      <c r="X273" s="32">
        <f t="shared" si="30"/>
        <v>1.2343137254902</v>
      </c>
      <c r="Y273" s="32">
        <f t="shared" si="27"/>
        <v>25.9205882352941</v>
      </c>
      <c r="Z273" s="32">
        <f t="shared" si="28"/>
        <v>0.493725490196081</v>
      </c>
      <c r="AA273" s="34">
        <v>25.18</v>
      </c>
      <c r="AB273" s="24">
        <v>0.053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ht="14.25" spans="1:34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ht="14.25" spans="1:34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0.053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ht="14.25" spans="1:34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0.065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ht="14.25" spans="1:34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0.07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ht="14.25" spans="1:34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ht="14.25" spans="1:34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0.053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ht="14.25" spans="1:34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</v>
      </c>
      <c r="V280" s="32">
        <f t="shared" si="31"/>
        <v>445942.75</v>
      </c>
      <c r="W280" s="32">
        <f t="shared" si="26"/>
        <v>40818.87</v>
      </c>
      <c r="X280" s="32"/>
      <c r="Y280" s="32">
        <f t="shared" si="27"/>
        <v>40818.87</v>
      </c>
      <c r="Z280" s="32">
        <f t="shared" si="28"/>
        <v>0</v>
      </c>
      <c r="AA280" s="31">
        <v>40818.87</v>
      </c>
      <c r="AB280" s="23">
        <v>0.07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ht="14.25" spans="1:34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ht="14.25" spans="1:34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ht="14.25" spans="1:34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ht="14.25" spans="1:34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</v>
      </c>
      <c r="T284" s="31"/>
      <c r="U284" s="32">
        <v>0</v>
      </c>
      <c r="V284" s="32">
        <f t="shared" si="31"/>
        <v>0.55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ht="14.25" spans="1:34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ht="14.25" spans="1:34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0.07</v>
      </c>
      <c r="T286" s="31"/>
      <c r="U286" s="32">
        <v>0</v>
      </c>
      <c r="V286" s="32">
        <f t="shared" si="31"/>
        <v>0.07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ht="14.25" spans="1:34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0.58</v>
      </c>
      <c r="T287" s="31"/>
      <c r="U287" s="32">
        <v>0</v>
      </c>
      <c r="V287" s="32">
        <f t="shared" si="31"/>
        <v>0.58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ht="14.25" spans="1:34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ht="14.25" spans="1:34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ht="14.25" spans="1:34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ht="14.25" spans="1:34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0.065</v>
      </c>
      <c r="AC291" s="36"/>
      <c r="AD291" s="36"/>
      <c r="AE291" s="31"/>
      <c r="AF291" s="31" t="s">
        <v>53</v>
      </c>
      <c r="AG291" s="23"/>
      <c r="AH291" s="38">
        <v>37</v>
      </c>
    </row>
    <row r="292" ht="14.25" spans="1:34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ht="14.25" spans="1:34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0.065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ht="14.25" spans="1:34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4458.19</v>
      </c>
      <c r="T294" s="31"/>
      <c r="U294" s="32">
        <v>0</v>
      </c>
      <c r="V294" s="32">
        <f t="shared" si="31"/>
        <v>4458.19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0.053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ht="14.25" spans="1:34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ht="14.25" spans="1:34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40439.1904761905</v>
      </c>
      <c r="X296" s="32"/>
      <c r="Y296" s="32">
        <f t="shared" si="32"/>
        <v>40439.1904761905</v>
      </c>
      <c r="Z296" s="32">
        <f t="shared" si="28"/>
        <v>2021.95952380953</v>
      </c>
      <c r="AA296" s="31">
        <v>83452.5</v>
      </c>
      <c r="AB296" s="23">
        <v>0.165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ht="14.25" spans="1:34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ht="14.25" spans="1:34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</v>
      </c>
      <c r="T298" s="31">
        <v>-9873.2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ht="14.25" spans="1:34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6517.72380952381</v>
      </c>
      <c r="X299" s="32"/>
      <c r="Y299" s="32">
        <f t="shared" si="32"/>
        <v>6517.72380952381</v>
      </c>
      <c r="Z299" s="32">
        <f t="shared" si="28"/>
        <v>325.886190476191</v>
      </c>
      <c r="AA299" s="31">
        <v>64744.8</v>
      </c>
      <c r="AB299" s="23">
        <v>0.165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ht="14.25" spans="1:34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ht="14.25" spans="1:34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ht="14.25" spans="1:34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ht="14.25" spans="1:34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ht="14.25" spans="1:34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1373466.03921569</v>
      </c>
      <c r="X304" s="32"/>
      <c r="Y304" s="32">
        <f t="shared" si="32"/>
        <v>1373466.03921569</v>
      </c>
      <c r="Z304" s="32">
        <f t="shared" si="28"/>
        <v>27469.3207843138</v>
      </c>
      <c r="AA304" s="34">
        <v>2529187.13</v>
      </c>
      <c r="AB304" s="24">
        <v>0.053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ht="14.25" spans="1:34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0.053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ht="14.25" spans="1:34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43</v>
      </c>
      <c r="P306" s="24">
        <v>0.03</v>
      </c>
      <c r="Q306" s="33" t="s">
        <v>65</v>
      </c>
      <c r="R306" s="40"/>
      <c r="S306" s="34">
        <v>141722.86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166721.223300971</v>
      </c>
      <c r="X306" s="32"/>
      <c r="Y306" s="32">
        <f t="shared" si="32"/>
        <v>166721.223300971</v>
      </c>
      <c r="Z306" s="32">
        <f t="shared" si="28"/>
        <v>5001.63669902913</v>
      </c>
      <c r="AA306" s="34">
        <v>815545.15</v>
      </c>
      <c r="AB306" s="24">
        <v>0.07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ht="14.25" spans="1:34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461177.71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0.07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ht="14.25" spans="1:34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0.053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ht="14.25" spans="1:34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</v>
      </c>
      <c r="T309" s="31"/>
      <c r="U309" s="32"/>
      <c r="V309" s="32">
        <f t="shared" si="31"/>
        <v>986.860000000001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ht="14.25" spans="1:34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28015.4811320755</v>
      </c>
      <c r="X310" s="32"/>
      <c r="Y310" s="32">
        <f t="shared" si="32"/>
        <v>28015.4811320755</v>
      </c>
      <c r="Z310" s="32">
        <f t="shared" si="28"/>
        <v>1680.92886792453</v>
      </c>
      <c r="AA310" s="34">
        <v>29696.41</v>
      </c>
      <c r="AB310" s="24">
        <v>0.133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ht="14.25" spans="1:34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306336.58</v>
      </c>
      <c r="W311" s="32">
        <f t="shared" si="26"/>
        <v>710590.893203883</v>
      </c>
      <c r="X311" s="32"/>
      <c r="Y311" s="32">
        <f t="shared" si="32"/>
        <v>710590.893203883</v>
      </c>
      <c r="Z311" s="32">
        <f t="shared" si="28"/>
        <v>21317.7267961166</v>
      </c>
      <c r="AA311" s="34">
        <v>731908.62</v>
      </c>
      <c r="AB311" s="24">
        <v>0.053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ht="14.25" spans="1:34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36597.84</v>
      </c>
      <c r="V312" s="32">
        <f t="shared" si="31"/>
        <v>32306.42</v>
      </c>
      <c r="W312" s="32">
        <f t="shared" si="26"/>
        <v>36597.84</v>
      </c>
      <c r="X312" s="32"/>
      <c r="Y312" s="32">
        <f t="shared" si="32"/>
        <v>36597.84</v>
      </c>
      <c r="Z312" s="32">
        <f t="shared" si="28"/>
        <v>0</v>
      </c>
      <c r="AA312" s="31">
        <v>12649.5898863393</v>
      </c>
      <c r="AB312" s="23">
        <v>0.065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ht="14.25" spans="1:34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ht="14.25" spans="1:34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7789.20964387155</v>
      </c>
      <c r="AB314" s="23">
        <v>0.065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ht="14.25" spans="1:34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1047.6</v>
      </c>
      <c r="V315" s="32">
        <f t="shared" si="31"/>
        <v>-6911.7</v>
      </c>
      <c r="W315" s="32">
        <f t="shared" si="26"/>
        <v>1047.6</v>
      </c>
      <c r="X315" s="32"/>
      <c r="Y315" s="32">
        <f t="shared" si="32"/>
        <v>1047.6</v>
      </c>
      <c r="Z315" s="32">
        <f t="shared" si="28"/>
        <v>0</v>
      </c>
      <c r="AA315" s="31">
        <v>362.08995844916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ht="14.25" spans="1:34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50272.0188847338</v>
      </c>
      <c r="AB316" s="23">
        <v>0.065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ht="14.25" spans="1:34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ht="14.25" spans="1:34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</v>
      </c>
      <c r="T318" s="31">
        <v>-4116.89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0.053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ht="14.25" spans="1:34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0.07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ht="14.25" spans="1:34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ht="14.25" spans="1:34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ht="14.25" spans="1:34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</v>
      </c>
      <c r="T322" s="34"/>
      <c r="U322" s="32">
        <v>0</v>
      </c>
      <c r="V322" s="32">
        <f t="shared" si="31"/>
        <v>-78428.96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ht="14.25" spans="1:34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</v>
      </c>
      <c r="W323" s="32">
        <f t="shared" si="33"/>
        <v>1436102.62745098</v>
      </c>
      <c r="X323" s="32"/>
      <c r="Y323" s="32">
        <f t="shared" si="32"/>
        <v>1436102.62745098</v>
      </c>
      <c r="Z323" s="32">
        <f t="shared" si="28"/>
        <v>28722.0525490197</v>
      </c>
      <c r="AA323" s="34">
        <v>1464824.68</v>
      </c>
      <c r="AB323" s="24">
        <v>0.053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ht="14.25" spans="1:34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0.07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ht="14.25" spans="1:34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0.065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ht="14.25" spans="1:34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</v>
      </c>
      <c r="T326" s="31"/>
      <c r="U326" s="32">
        <v>0</v>
      </c>
      <c r="V326" s="32">
        <f t="shared" si="31"/>
        <v>35733.8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0.065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ht="14.25" spans="1:34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32686.9029126214</v>
      </c>
      <c r="X327" s="32"/>
      <c r="Y327" s="32">
        <f t="shared" si="32"/>
        <v>32686.9029126214</v>
      </c>
      <c r="Z327" s="32">
        <f t="shared" si="34"/>
        <v>980.607087378641</v>
      </c>
      <c r="AA327" s="31">
        <v>33667.51</v>
      </c>
      <c r="AB327" s="23">
        <v>0.07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ht="14.25" spans="1:34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ht="14.25" spans="1:34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</v>
      </c>
      <c r="T329" s="34"/>
      <c r="U329" s="32">
        <v>0</v>
      </c>
      <c r="V329" s="32">
        <f t="shared" si="31"/>
        <v>269.79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ht="14.25" spans="1:34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0.07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0.065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ht="14.25" spans="1:34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32887.91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0.065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ht="14.25" spans="1:34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ht="14.25" spans="1:34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2038.74509803922</v>
      </c>
      <c r="X333" s="32"/>
      <c r="Y333" s="32">
        <f t="shared" si="32"/>
        <v>2038.74509803922</v>
      </c>
      <c r="Z333" s="32">
        <f t="shared" si="34"/>
        <v>40.7749019607843</v>
      </c>
      <c r="AA333" s="31">
        <v>28152.7</v>
      </c>
      <c r="AB333" s="23">
        <v>0.165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ht="14.25" spans="1:34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ht="14.25" spans="1:34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0.053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ht="14.25" spans="1:34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</v>
      </c>
      <c r="T336" s="31">
        <v>300000</v>
      </c>
      <c r="U336" s="32">
        <v>187501.07</v>
      </c>
      <c r="V336" s="32">
        <f t="shared" si="35"/>
        <v>196812.38273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ht="14.25" spans="1:34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ht="14.25" spans="1:34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0.053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ht="14.25" spans="1:34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</v>
      </c>
      <c r="X339" s="32"/>
      <c r="Y339" s="32">
        <f t="shared" si="32"/>
        <v>185.885714285714</v>
      </c>
      <c r="Z339" s="32">
        <f t="shared" si="34"/>
        <v>9.29428571428573</v>
      </c>
      <c r="AA339" s="31">
        <v>195.18</v>
      </c>
      <c r="AB339" s="23">
        <v>0.053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ht="14.25" spans="1:34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0.053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ht="14.25" spans="1:34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ht="14.25" spans="1:34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</v>
      </c>
      <c r="T342" s="31">
        <v>-8375.78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ht="14.25" spans="1:34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41681.2</v>
      </c>
      <c r="T343" s="31">
        <v>-41678.8</v>
      </c>
      <c r="U343" s="32">
        <v>0</v>
      </c>
      <c r="V343" s="32">
        <f t="shared" si="36"/>
        <v>2.39999999999418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0.065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ht="14.25" spans="1:34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-0.0100000000020373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0.053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ht="14.25" spans="1:34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</v>
      </c>
      <c r="T345" s="31"/>
      <c r="U345" s="32">
        <v>0</v>
      </c>
      <c r="V345" s="32">
        <f t="shared" si="36"/>
        <v>16499.9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0.065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ht="14.25" spans="1:34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</v>
      </c>
      <c r="T346" s="31">
        <v>100000</v>
      </c>
      <c r="U346" s="32">
        <v>54943.82</v>
      </c>
      <c r="V346" s="32">
        <f t="shared" si="36"/>
        <v>84424.48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0.053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ht="14.25" spans="1:34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ht="14.25" spans="1:34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ht="14.25" spans="1:34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ht="14.25" spans="1:34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0.053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ht="14.25" spans="1:34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4331.86</v>
      </c>
      <c r="T351" s="31"/>
      <c r="U351" s="32">
        <v>0</v>
      </c>
      <c r="V351" s="32">
        <f t="shared" si="37"/>
        <v>4331.86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0.053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ht="14.25" spans="1:34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260289</v>
      </c>
      <c r="X352" s="32"/>
      <c r="Y352" s="32">
        <f t="shared" si="32"/>
        <v>260289</v>
      </c>
      <c r="Z352" s="32">
        <f t="shared" si="34"/>
        <v>85808.67</v>
      </c>
      <c r="AA352" s="34">
        <v>10834963.97</v>
      </c>
      <c r="AB352" s="24">
        <v>0.07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ht="14.25" spans="1:34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</v>
      </c>
      <c r="V353" s="32">
        <f t="shared" si="37"/>
        <v>1711133.7</v>
      </c>
      <c r="W353" s="32">
        <f t="shared" ref="W353:W416" si="38">IF(O353="返货",U353/(1+P353),IF(O353="返现",U353,IF(O353="折扣",U353*P353,IF(O353="无",U353))))</f>
        <v>10488866.3</v>
      </c>
      <c r="X353" s="32"/>
      <c r="Y353" s="32">
        <f t="shared" si="32"/>
        <v>10488866.3</v>
      </c>
      <c r="Z353" s="32">
        <f t="shared" si="34"/>
        <v>0</v>
      </c>
      <c r="AA353" s="34">
        <v>0</v>
      </c>
      <c r="AB353" s="24">
        <v>0.07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ht="14.25" spans="1:34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0.07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ht="14.25" spans="1:34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10042.3</v>
      </c>
      <c r="U355" s="32">
        <v>13442.17</v>
      </c>
      <c r="V355" s="32">
        <f t="shared" si="37"/>
        <v>4485.37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4646.11948908605</v>
      </c>
      <c r="AB355" s="23">
        <v>0.065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ht="14.25" spans="1:34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0.065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ht="14.25" spans="1:34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ht="14.25" spans="1:34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</v>
      </c>
      <c r="AB358" s="23">
        <v>0.065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ht="14.25" spans="1:34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0.07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ht="14.25" spans="1:34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ht="14.25" spans="1:34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ht="14.25" spans="1:34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0.065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ht="14.25" spans="1:34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ht="14.25" spans="1:34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</v>
      </c>
      <c r="W364" s="32">
        <f t="shared" si="38"/>
        <v>23649.6078431373</v>
      </c>
      <c r="X364" s="32"/>
      <c r="Y364" s="32">
        <f t="shared" si="40"/>
        <v>23649.6078431373</v>
      </c>
      <c r="Z364" s="32">
        <f t="shared" si="34"/>
        <v>472.992156862747</v>
      </c>
      <c r="AA364" s="31">
        <v>8337.67776984127</v>
      </c>
      <c r="AB364" s="23">
        <v>0.065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ht="14.25" spans="1:34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</v>
      </c>
      <c r="W365" s="32">
        <f t="shared" si="38"/>
        <v>51268.8316831683</v>
      </c>
      <c r="X365" s="32"/>
      <c r="Y365" s="32">
        <f t="shared" si="40"/>
        <v>51268.8316831683</v>
      </c>
      <c r="Z365" s="32">
        <f t="shared" si="34"/>
        <v>512.688316831685</v>
      </c>
      <c r="AA365" s="31">
        <v>51781.52</v>
      </c>
      <c r="AB365" s="23">
        <v>0.053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ht="14.25" spans="1:34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</v>
      </c>
      <c r="W366" s="32">
        <f t="shared" si="38"/>
        <v>56313.1188118812</v>
      </c>
      <c r="X366" s="32"/>
      <c r="Y366" s="32">
        <f t="shared" si="40"/>
        <v>56313.1188118812</v>
      </c>
      <c r="Z366" s="32">
        <f t="shared" si="34"/>
        <v>563.131188118816</v>
      </c>
      <c r="AA366" s="31">
        <v>56876.25</v>
      </c>
      <c r="AB366" s="23">
        <v>0.053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ht="14.25" spans="1:34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146082.23</v>
      </c>
      <c r="W367" s="32">
        <f t="shared" si="38"/>
        <v>219057.155339806</v>
      </c>
      <c r="X367" s="32"/>
      <c r="Y367" s="32">
        <f t="shared" si="40"/>
        <v>219057.155339806</v>
      </c>
      <c r="Z367" s="32">
        <f t="shared" si="34"/>
        <v>6571.71466019418</v>
      </c>
      <c r="AA367" s="31">
        <v>77985.8229889567</v>
      </c>
      <c r="AB367" s="23">
        <v>0.065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ht="14.25" spans="1:34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0.065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ht="14.25" spans="1:34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70833.0097087379</v>
      </c>
      <c r="X369" s="32"/>
      <c r="Y369" s="32">
        <f t="shared" si="40"/>
        <v>70833.0097087379</v>
      </c>
      <c r="Z369" s="32">
        <f t="shared" si="34"/>
        <v>2124.99029126213</v>
      </c>
      <c r="AA369" s="31">
        <v>25217.0286259391</v>
      </c>
      <c r="AB369" s="23">
        <v>0.065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ht="14.25" spans="1:34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165758.815533981</v>
      </c>
      <c r="X370" s="32"/>
      <c r="Y370" s="32">
        <f t="shared" si="40"/>
        <v>165758.815533981</v>
      </c>
      <c r="Z370" s="32">
        <f t="shared" si="34"/>
        <v>4972.76446601943</v>
      </c>
      <c r="AA370" s="31">
        <v>59011.2549715154</v>
      </c>
      <c r="AB370" s="23">
        <v>0.065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ht="14.25" spans="1:34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0.065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ht="14.25" spans="1:34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0.065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ht="14.25" spans="1:34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ht="14.25" spans="1:34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0.07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ht="14.25" spans="1:34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38518.4</v>
      </c>
      <c r="W375" s="32">
        <f t="shared" si="38"/>
        <v>14725.362745098</v>
      </c>
      <c r="X375" s="32"/>
      <c r="Y375" s="32">
        <f t="shared" si="40"/>
        <v>14725.362745098</v>
      </c>
      <c r="Z375" s="32">
        <f t="shared" si="34"/>
        <v>294.507254901961</v>
      </c>
      <c r="AA375" s="31">
        <v>5191.43194369205</v>
      </c>
      <c r="AB375" s="23">
        <v>0.065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ht="14.25" spans="1:34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0.053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ht="14.25" spans="1:34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</v>
      </c>
      <c r="U377" s="32">
        <v>142490.02</v>
      </c>
      <c r="V377" s="32">
        <f t="shared" si="37"/>
        <v>28392.49</v>
      </c>
      <c r="W377" s="32">
        <f t="shared" si="38"/>
        <v>139696.098039216</v>
      </c>
      <c r="X377" s="32"/>
      <c r="Y377" s="32">
        <f t="shared" si="40"/>
        <v>139696.098039216</v>
      </c>
      <c r="Z377" s="32">
        <f t="shared" si="34"/>
        <v>2793.92196078433</v>
      </c>
      <c r="AA377" s="31">
        <v>142490.02</v>
      </c>
      <c r="AB377" s="23">
        <v>0.053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ht="14.25" spans="1:34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0.07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ht="14.25" spans="1:34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0.065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ht="14.25" spans="1:34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</v>
      </c>
      <c r="W380" s="32">
        <f t="shared" si="38"/>
        <v>70934.637254902</v>
      </c>
      <c r="X380" s="32"/>
      <c r="Y380" s="32">
        <f t="shared" si="40"/>
        <v>70934.637254902</v>
      </c>
      <c r="Z380" s="32">
        <f t="shared" si="34"/>
        <v>1418.69274509804</v>
      </c>
      <c r="AA380" s="34">
        <v>0</v>
      </c>
      <c r="AB380" s="24">
        <v>0.053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ht="14.25" spans="1:34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9643.60000000001</v>
      </c>
      <c r="T381" s="31">
        <v>806.03</v>
      </c>
      <c r="U381" s="32">
        <v>10504.53</v>
      </c>
      <c r="V381" s="32">
        <f t="shared" si="37"/>
        <v>-54.8999999999905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</v>
      </c>
      <c r="AB381" s="23">
        <v>0.065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ht="14.25" spans="1:34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0.065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ht="14.25" spans="1:34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</v>
      </c>
      <c r="T383" s="31"/>
      <c r="U383" s="32">
        <v>6846.66</v>
      </c>
      <c r="V383" s="32">
        <f t="shared" si="37"/>
        <v>3106.08000000001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</v>
      </c>
      <c r="AB383" s="23">
        <v>0.065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ht="14.25" spans="1:34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</v>
      </c>
      <c r="AB384" s="23">
        <v>0.065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ht="14.25" spans="1:34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0.07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ht="14.25" spans="1:34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323761.620000001</v>
      </c>
      <c r="T386" s="34"/>
      <c r="U386" s="34">
        <v>323761.620000001</v>
      </c>
      <c r="V386" s="32">
        <f t="shared" si="37"/>
        <v>0</v>
      </c>
      <c r="W386" s="32">
        <f t="shared" si="38"/>
        <v>317413.352941177</v>
      </c>
      <c r="X386" s="32"/>
      <c r="Y386" s="32">
        <f t="shared" si="41"/>
        <v>317413.352941177</v>
      </c>
      <c r="Z386" s="32">
        <f t="shared" si="34"/>
        <v>6348.26705882355</v>
      </c>
      <c r="AA386" s="34">
        <v>0</v>
      </c>
      <c r="AB386" s="24">
        <v>0.07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ht="14.25" spans="1:34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155351.379999999</v>
      </c>
      <c r="V387" s="32">
        <f t="shared" si="37"/>
        <v>279648.620000001</v>
      </c>
      <c r="W387" s="32">
        <f t="shared" si="38"/>
        <v>155351.379999999</v>
      </c>
      <c r="X387" s="32"/>
      <c r="Y387" s="32">
        <f t="shared" si="41"/>
        <v>155351.379999999</v>
      </c>
      <c r="Z387" s="32">
        <f t="shared" si="34"/>
        <v>0</v>
      </c>
      <c r="AA387" s="34">
        <v>479113</v>
      </c>
      <c r="AB387" s="24">
        <v>0.07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ht="14.25" spans="1:34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0.07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ht="14.25" spans="1:34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0.07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ht="14.25" spans="1:34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0.07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ht="14.25" spans="1:34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0.07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ht="14.25" spans="1:34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32018.2000000001</v>
      </c>
      <c r="T392" s="31">
        <v>309000</v>
      </c>
      <c r="U392" s="32">
        <v>237934.5</v>
      </c>
      <c r="V392" s="32">
        <f t="shared" si="37"/>
        <v>103083.7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82239.1115107119</v>
      </c>
      <c r="AB392" s="23">
        <v>0.065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ht="14.25" spans="1:34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ht="14.25" spans="1:34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</v>
      </c>
      <c r="AB394" s="23">
        <v>0.065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ht="14.25" spans="1:34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ht="14.25" spans="1:34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0.07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ht="14.25" spans="1:34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ht="14.25" spans="1:34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1319.47156966368</v>
      </c>
      <c r="AB398" s="23">
        <v>0.065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ht="14.25" spans="1:34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</v>
      </c>
      <c r="V399" s="32">
        <f t="shared" si="37"/>
        <v>-1088.95</v>
      </c>
      <c r="W399" s="32">
        <f t="shared" si="38"/>
        <v>578.57</v>
      </c>
      <c r="X399" s="32"/>
      <c r="Y399" s="32">
        <f t="shared" si="41"/>
        <v>578.57</v>
      </c>
      <c r="Z399" s="32">
        <f t="shared" si="42"/>
        <v>0</v>
      </c>
      <c r="AA399" s="31">
        <v>199.975551030862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ht="14.25" spans="1:34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</v>
      </c>
      <c r="X400" s="32"/>
      <c r="Y400" s="32">
        <f t="shared" si="41"/>
        <v>265342.470588235</v>
      </c>
      <c r="Z400" s="32">
        <f t="shared" si="42"/>
        <v>5306.84941176471</v>
      </c>
      <c r="AA400" s="34">
        <v>301156.21</v>
      </c>
      <c r="AB400" s="24">
        <v>0.053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ht="14.25" spans="1:34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</v>
      </c>
      <c r="X401" s="32"/>
      <c r="Y401" s="32">
        <f t="shared" si="41"/>
        <v>29618.3398058252</v>
      </c>
      <c r="Z401" s="32">
        <f t="shared" si="42"/>
        <v>888.550194174757</v>
      </c>
      <c r="AA401" s="34">
        <v>0</v>
      </c>
      <c r="AB401" s="24">
        <v>0.053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ht="14.25" spans="1:34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</v>
      </c>
      <c r="T402" s="34"/>
      <c r="U402" s="32">
        <v>0</v>
      </c>
      <c r="V402" s="32">
        <f t="shared" si="37"/>
        <v>268.41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ht="14.25" spans="1:34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</v>
      </c>
      <c r="U403" s="32">
        <v>18650.05</v>
      </c>
      <c r="V403" s="32">
        <f t="shared" si="37"/>
        <v>2560.45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0.053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ht="14.25" spans="1:34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ht="14.25" spans="1:34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</v>
      </c>
      <c r="V405" s="32">
        <f t="shared" si="37"/>
        <v>92082.02</v>
      </c>
      <c r="W405" s="32">
        <f t="shared" si="38"/>
        <v>8835.62</v>
      </c>
      <c r="X405" s="32"/>
      <c r="Y405" s="32">
        <f t="shared" si="41"/>
        <v>8835.62</v>
      </c>
      <c r="Z405" s="32">
        <f t="shared" si="42"/>
        <v>0</v>
      </c>
      <c r="AA405" s="34">
        <v>8835.62</v>
      </c>
      <c r="AB405" s="24">
        <v>0.053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ht="14.25" spans="1:34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0.053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ht="14.25" spans="1:34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0.053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ht="14.25" spans="1:34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0.053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ht="14.25" spans="1:34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43</v>
      </c>
      <c r="P409" s="24">
        <v>0.1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19450.0727272727</v>
      </c>
      <c r="X409" s="32"/>
      <c r="Y409" s="32">
        <f t="shared" si="41"/>
        <v>19450.0727272727</v>
      </c>
      <c r="Z409" s="32">
        <f t="shared" si="42"/>
        <v>1945.00727272727</v>
      </c>
      <c r="AA409" s="34">
        <v>24704.34</v>
      </c>
      <c r="AB409" s="24">
        <v>0.133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ht="14.25" spans="1:34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ht="14.25" spans="1:34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43</v>
      </c>
      <c r="P411" s="24">
        <v>0.15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18471.6608695652</v>
      </c>
      <c r="X411" s="32"/>
      <c r="Y411" s="32">
        <f t="shared" si="41"/>
        <v>18471.6608695652</v>
      </c>
      <c r="Z411" s="32">
        <f t="shared" si="42"/>
        <v>2770.74913043478</v>
      </c>
      <c r="AA411" s="34">
        <v>21242.41</v>
      </c>
      <c r="AB411" s="24">
        <v>0.133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ht="14.25" spans="1:34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43</v>
      </c>
      <c r="P412" s="24">
        <v>0.05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0.053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ht="14.25" spans="1:34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35472.38</v>
      </c>
      <c r="V413" s="32">
        <v>0</v>
      </c>
      <c r="W413" s="32">
        <f t="shared" si="38"/>
        <v>35472.38</v>
      </c>
      <c r="X413" s="32"/>
      <c r="Y413" s="32">
        <f t="shared" si="41"/>
        <v>35472.38</v>
      </c>
      <c r="Z413" s="32">
        <f t="shared" si="42"/>
        <v>0</v>
      </c>
      <c r="AA413" s="34">
        <v>35472.38</v>
      </c>
      <c r="AB413" s="24">
        <v>0.133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ht="14.25" spans="1:34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0.053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ht="14.25" spans="1:34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6563.39</v>
      </c>
      <c r="W415" s="32">
        <f t="shared" si="38"/>
        <v>32780.9901960784</v>
      </c>
      <c r="X415" s="32"/>
      <c r="Y415" s="32">
        <f t="shared" si="41"/>
        <v>32780.9901960784</v>
      </c>
      <c r="Z415" s="32">
        <f t="shared" si="42"/>
        <v>655.619803921567</v>
      </c>
      <c r="AA415" s="31">
        <v>33436.61</v>
      </c>
      <c r="AB415" s="23">
        <v>0.053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ht="14.25" spans="1:34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0.00999999999476131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0.053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ht="14.25" spans="1:34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0.0100000000002183</v>
      </c>
      <c r="T417" s="31"/>
      <c r="U417" s="32">
        <v>0</v>
      </c>
      <c r="V417" s="32">
        <f t="shared" si="43"/>
        <v>0.0100000000002183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0.053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ht="14.25" spans="1:34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0.065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ht="14.25" spans="1:34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</v>
      </c>
      <c r="T419" s="31"/>
      <c r="U419" s="32">
        <v>0</v>
      </c>
      <c r="V419" s="32">
        <f t="shared" si="43"/>
        <v>32483.36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0.065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ht="14.25" spans="1:34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300746.6</v>
      </c>
      <c r="U420" s="32">
        <v>204726.52</v>
      </c>
      <c r="V420" s="32">
        <f t="shared" si="43"/>
        <v>291133.57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0.07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ht="14.25" spans="1:34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4344.23076923077</v>
      </c>
      <c r="X421" s="32"/>
      <c r="Y421" s="32">
        <f t="shared" si="41"/>
        <v>4344.23076923077</v>
      </c>
      <c r="Z421" s="32">
        <f t="shared" si="42"/>
        <v>173.76923076923</v>
      </c>
      <c r="AA421" s="31">
        <v>4518</v>
      </c>
      <c r="AB421" s="23">
        <v>0.053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ht="14.25" spans="1:34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</v>
      </c>
      <c r="W422" s="32">
        <f t="shared" si="44"/>
        <v>9245.82352941176</v>
      </c>
      <c r="X422" s="32"/>
      <c r="Y422" s="32">
        <f t="shared" si="41"/>
        <v>9245.82352941176</v>
      </c>
      <c r="Z422" s="32">
        <f t="shared" si="42"/>
        <v>184.916470588236</v>
      </c>
      <c r="AA422" s="31">
        <v>9430.74</v>
      </c>
      <c r="AB422" s="23">
        <v>0.053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ht="14.25" spans="1:34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</v>
      </c>
      <c r="X423" s="32"/>
      <c r="Y423" s="32">
        <f t="shared" si="41"/>
        <v>532.076923076923</v>
      </c>
      <c r="Z423" s="32">
        <f t="shared" si="42"/>
        <v>21.2830769230769</v>
      </c>
      <c r="AA423" s="31">
        <v>191.262026925761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ht="14.25" spans="1:34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3440.70999999973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</v>
      </c>
      <c r="AB424" s="23">
        <v>0.065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ht="14.25" spans="1:34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</v>
      </c>
      <c r="V425" s="32">
        <f t="shared" ref="V425:V441" si="45">S425+T425-U425</f>
        <v>338545.19</v>
      </c>
      <c r="W425" s="32">
        <f t="shared" si="44"/>
        <v>648485.107843137</v>
      </c>
      <c r="X425" s="32"/>
      <c r="Y425" s="32">
        <f t="shared" si="41"/>
        <v>648485.107843137</v>
      </c>
      <c r="Z425" s="32">
        <f t="shared" si="42"/>
        <v>12969.7021568627</v>
      </c>
      <c r="AA425" s="31">
        <v>0</v>
      </c>
      <c r="AB425" s="23">
        <v>0.065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ht="14.25" spans="1:34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488.745098039216</v>
      </c>
      <c r="X426" s="32"/>
      <c r="Y426" s="32">
        <f t="shared" si="41"/>
        <v>488.745098039216</v>
      </c>
      <c r="Z426" s="32">
        <f t="shared" si="42"/>
        <v>9.77490196078435</v>
      </c>
      <c r="AA426" s="31">
        <v>0</v>
      </c>
      <c r="AB426" s="23">
        <v>0.065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ht="14.25" spans="1:34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0.065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ht="14.25" spans="1:34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ht="14.25" spans="1:34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</v>
      </c>
      <c r="T429" s="31"/>
      <c r="U429" s="32">
        <v>0</v>
      </c>
      <c r="V429" s="32">
        <f t="shared" si="45"/>
        <v>38184.8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0.065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ht="14.25" spans="1:34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0.065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ht="14.25" spans="1:34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</v>
      </c>
      <c r="X431" s="32"/>
      <c r="Y431" s="32">
        <f t="shared" si="41"/>
        <v>154912.316831683</v>
      </c>
      <c r="Z431" s="32">
        <f t="shared" si="42"/>
        <v>1549.12316831684</v>
      </c>
      <c r="AA431" s="31">
        <v>156461.44</v>
      </c>
      <c r="AB431" s="23">
        <v>0.053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ht="14.25" spans="1:34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0.065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ht="14.25" spans="1:34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ht="14.25" spans="1:34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0.07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ht="14.25" spans="1:34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</v>
      </c>
      <c r="X435" s="32"/>
      <c r="Y435" s="32">
        <f t="shared" si="41"/>
        <v>437505.026</v>
      </c>
      <c r="Z435" s="32">
        <f t="shared" si="42"/>
        <v>8928.674</v>
      </c>
      <c r="AA435" s="34">
        <v>0</v>
      </c>
      <c r="AB435" s="24">
        <v>0.07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ht="14.25" spans="1:34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10579.1132075472</v>
      </c>
      <c r="X436" s="32"/>
      <c r="Y436" s="32">
        <f t="shared" si="41"/>
        <v>10579.1132075472</v>
      </c>
      <c r="Z436" s="32">
        <f t="shared" si="42"/>
        <v>634.74679245283</v>
      </c>
      <c r="AA436" s="34">
        <v>0</v>
      </c>
      <c r="AB436" s="24">
        <v>0.053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ht="14.25" spans="1:34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0.053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ht="14.25" spans="1:34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ht="14.25" spans="1:34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</v>
      </c>
      <c r="V439" s="32">
        <f t="shared" si="45"/>
        <v>241640.77</v>
      </c>
      <c r="W439" s="32">
        <f t="shared" si="44"/>
        <v>283407.28</v>
      </c>
      <c r="X439" s="32"/>
      <c r="Y439" s="32">
        <f t="shared" si="41"/>
        <v>283407.28</v>
      </c>
      <c r="Z439" s="32">
        <f t="shared" si="42"/>
        <v>0</v>
      </c>
      <c r="AA439" s="34">
        <v>283407.28</v>
      </c>
      <c r="AB439" s="24">
        <v>0.053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ht="14.25" spans="1:34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9.45</v>
      </c>
      <c r="V440" s="32">
        <f t="shared" si="45"/>
        <v>-1.81188397618826e-13</v>
      </c>
      <c r="W440" s="32">
        <f t="shared" si="44"/>
        <v>9.08653846153846</v>
      </c>
      <c r="X440" s="32"/>
      <c r="Y440" s="32">
        <f t="shared" si="41"/>
        <v>9.08653846153846</v>
      </c>
      <c r="Z440" s="32">
        <f t="shared" si="42"/>
        <v>0.363461538461539</v>
      </c>
      <c r="AA440" s="31">
        <v>9.45</v>
      </c>
      <c r="AB440" s="23">
        <v>0.053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ht="14.25" spans="1:34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1.81188397618826e-13</v>
      </c>
      <c r="W441" s="32">
        <f t="shared" si="44"/>
        <v>23.6057692307692</v>
      </c>
      <c r="X441" s="32"/>
      <c r="Y441" s="32">
        <f t="shared" si="41"/>
        <v>23.6057692307692</v>
      </c>
      <c r="Z441" s="32">
        <f t="shared" si="42"/>
        <v>0.944230769230771</v>
      </c>
      <c r="AA441" s="31">
        <v>24.55</v>
      </c>
      <c r="AB441" s="23">
        <v>0.053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ht="14.25" spans="1:34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</v>
      </c>
      <c r="X442" s="32"/>
      <c r="Y442" s="32">
        <f t="shared" si="41"/>
        <v>20564.5490196078</v>
      </c>
      <c r="Z442" s="32">
        <f t="shared" si="42"/>
        <v>-20564.5490196078</v>
      </c>
      <c r="AA442" s="31">
        <v>0</v>
      </c>
      <c r="AB442" s="23">
        <v>0.165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ht="14.25" spans="1:34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6892.66019417476</v>
      </c>
      <c r="X443" s="32"/>
      <c r="Y443" s="32">
        <f t="shared" si="41"/>
        <v>6892.66019417476</v>
      </c>
      <c r="Z443" s="32">
        <f t="shared" si="42"/>
        <v>206.779805825243</v>
      </c>
      <c r="AA443" s="34">
        <v>0</v>
      </c>
      <c r="AB443" s="24">
        <v>0.07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ht="14.25" spans="1:34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0.07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ht="14.25" spans="1:34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1643.57000000001</v>
      </c>
      <c r="T445" s="31"/>
      <c r="U445" s="31">
        <v>1643.57000000001</v>
      </c>
      <c r="V445" s="32">
        <f t="shared" si="46"/>
        <v>0</v>
      </c>
      <c r="W445" s="32">
        <f t="shared" si="47"/>
        <v>1580.35576923078</v>
      </c>
      <c r="X445" s="32"/>
      <c r="Y445" s="32">
        <f t="shared" si="41"/>
        <v>1580.35576923078</v>
      </c>
      <c r="Z445" s="32">
        <f t="shared" si="42"/>
        <v>63.2142307692311</v>
      </c>
      <c r="AA445" s="31">
        <v>0</v>
      </c>
      <c r="AB445" s="23">
        <v>0.065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ht="14.25" spans="1:34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0.065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ht="14.25" spans="1:34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17724.84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</v>
      </c>
      <c r="AA447" s="31">
        <v>45719.2699391524</v>
      </c>
      <c r="AB447" s="23">
        <v>0.065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ht="14.25" spans="1:34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230141.98</v>
      </c>
      <c r="W448" s="32">
        <f t="shared" si="47"/>
        <v>34250.3667</v>
      </c>
      <c r="X448" s="32"/>
      <c r="Y448" s="32">
        <f t="shared" si="41"/>
        <v>34250.3667</v>
      </c>
      <c r="Z448" s="32">
        <f t="shared" si="42"/>
        <v>345.963300000003</v>
      </c>
      <c r="AA448" s="31">
        <v>11957.792756962</v>
      </c>
      <c r="AB448" s="23">
        <v>0.065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ht="14.25" spans="1:34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-3.63709062867201e-13</v>
      </c>
      <c r="W449" s="32">
        <f t="shared" si="47"/>
        <v>2.76190476190476</v>
      </c>
      <c r="X449" s="32"/>
      <c r="Y449" s="32">
        <f t="shared" ref="Y449:Y454" si="48">W449+X449</f>
        <v>2.76190476190476</v>
      </c>
      <c r="Z449" s="32">
        <f t="shared" si="42"/>
        <v>0.138095238095238</v>
      </c>
      <c r="AA449" s="31">
        <v>2.9</v>
      </c>
      <c r="AB449" s="23">
        <v>0.053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ht="14.25" spans="1:34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156.33</v>
      </c>
      <c r="W450" s="32">
        <f t="shared" si="47"/>
        <v>1112.23529411765</v>
      </c>
      <c r="X450" s="32"/>
      <c r="Y450" s="32">
        <f t="shared" si="48"/>
        <v>1112.23529411765</v>
      </c>
      <c r="Z450" s="32">
        <f t="shared" si="42"/>
        <v>22.2447058823529</v>
      </c>
      <c r="AA450" s="31">
        <v>1134.48</v>
      </c>
      <c r="AB450" s="23">
        <v>0.053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ht="14.25" spans="1:34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ht="14.25" spans="1:34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</v>
      </c>
      <c r="X452" s="32"/>
      <c r="Y452" s="32">
        <f t="shared" si="48"/>
        <v>12379.7058823529</v>
      </c>
      <c r="Z452" s="32">
        <f t="shared" ref="Z452:Z515" si="49">U452-W452</f>
        <v>247.594117647059</v>
      </c>
      <c r="AA452" s="31">
        <v>0</v>
      </c>
      <c r="AB452" s="23">
        <v>0.065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ht="14.25" spans="1:34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7529.81553159881</v>
      </c>
      <c r="AB453" s="23">
        <v>0.065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ht="14.25" spans="1:34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ht="14.25" spans="1:34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-4.00177668780088e-11</v>
      </c>
      <c r="W455" s="32">
        <f t="shared" si="47"/>
        <v>9175.48076923077</v>
      </c>
      <c r="X455" s="32"/>
      <c r="Y455" s="32"/>
      <c r="Z455" s="32">
        <f t="shared" si="49"/>
        <v>367.01923076923</v>
      </c>
      <c r="AA455" s="31">
        <v>3298.24687714883</v>
      </c>
      <c r="AB455" s="23">
        <v>0.065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ht="14.25" spans="1:34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ht="14.25" spans="1:34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459.462962962963</v>
      </c>
      <c r="X457" s="32"/>
      <c r="Y457" s="32"/>
      <c r="Z457" s="32">
        <f t="shared" si="49"/>
        <v>-459.462962962963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ht="14.25" spans="1:34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</v>
      </c>
      <c r="X458" s="32"/>
      <c r="Y458" s="32"/>
      <c r="Z458" s="32">
        <f t="shared" si="49"/>
        <v>-2093.94444444444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ht="14.25" spans="1:34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ht="14.25" spans="1:34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ht="14.25" spans="1:34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0.053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ht="14.25" spans="1:34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</v>
      </c>
      <c r="X462" s="32"/>
      <c r="Y462" s="32">
        <f t="shared" si="50"/>
        <v>37484.3725490196</v>
      </c>
      <c r="Z462" s="32">
        <f t="shared" si="49"/>
        <v>-37484.3725490196</v>
      </c>
      <c r="AA462" s="31">
        <v>0</v>
      </c>
      <c r="AB462" s="23">
        <v>0.165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ht="14.25" spans="1:34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0.053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ht="14.25" spans="1:34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1388.08063491011</v>
      </c>
      <c r="AB464" s="23">
        <v>0.065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ht="14.25" spans="1:34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</v>
      </c>
      <c r="X465" s="32"/>
      <c r="Y465" s="32">
        <f t="shared" si="50"/>
        <v>2401.03921568627</v>
      </c>
      <c r="Z465" s="32">
        <f t="shared" si="49"/>
        <v>48.0207843137255</v>
      </c>
      <c r="AA465" s="31">
        <v>2449.06</v>
      </c>
      <c r="AB465" s="23">
        <v>0.133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ht="14.25" spans="1:34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24271.8446601942</v>
      </c>
      <c r="X466" s="32"/>
      <c r="Y466" s="32">
        <v>14563.11</v>
      </c>
      <c r="Z466" s="32">
        <f t="shared" si="49"/>
        <v>728.155339805828</v>
      </c>
      <c r="AA466" s="31">
        <v>10331.7993871347</v>
      </c>
      <c r="AB466" s="23">
        <v>0.065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ht="14.25" spans="1:34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</v>
      </c>
      <c r="X467" s="32"/>
      <c r="Y467" s="32"/>
      <c r="Z467" s="32">
        <f t="shared" si="49"/>
        <v>188.153846153847</v>
      </c>
      <c r="AA467" s="31">
        <v>0</v>
      </c>
      <c r="AB467" s="23">
        <v>0.065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ht="14.25" spans="1:34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</v>
      </c>
      <c r="X468" s="32"/>
      <c r="Y468" s="32"/>
      <c r="Z468" s="32">
        <f t="shared" si="49"/>
        <v>11666.6666666666</v>
      </c>
      <c r="AA468" s="31">
        <v>595000</v>
      </c>
      <c r="AB468" s="23">
        <v>0.07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ht="14.25" spans="1:34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</v>
      </c>
      <c r="T469" s="31">
        <v>-2821.17</v>
      </c>
      <c r="U469" s="32">
        <v>3.5</v>
      </c>
      <c r="V469" s="32">
        <f t="shared" si="52"/>
        <v>1.00044417195022e-11</v>
      </c>
      <c r="W469" s="32">
        <f t="shared" si="53"/>
        <v>3.33333333333333</v>
      </c>
      <c r="X469" s="32"/>
      <c r="Y469" s="32">
        <f t="shared" ref="Y469:Y532" si="54">W469+X469</f>
        <v>3.33333333333333</v>
      </c>
      <c r="Z469" s="32">
        <f t="shared" si="49"/>
        <v>0.166666666666667</v>
      </c>
      <c r="AA469" s="31">
        <v>3.5</v>
      </c>
      <c r="AB469" s="23">
        <v>0.053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ht="14.25" spans="1:34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ht="14.25" spans="1:34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0.065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ht="14.25" spans="1:34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1965.82080992628</v>
      </c>
      <c r="AB472" s="23">
        <v>0.065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ht="14.25" spans="1:34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0.065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ht="14.25" spans="1:34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0.065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ht="14.25" spans="1:34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675424.911845519</v>
      </c>
      <c r="AB475" s="23">
        <v>0.065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ht="14.25" spans="1:34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2043.9954</v>
      </c>
      <c r="AA476" s="34">
        <v>102199.77</v>
      </c>
      <c r="AB476" s="24">
        <v>0.07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ht="14.25" spans="1:34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0.053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ht="14.25" spans="1:34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</v>
      </c>
      <c r="AB478" s="23">
        <v>0.065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ht="14.25" spans="1:34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ht="14.25" spans="1:34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</v>
      </c>
      <c r="T480" s="31"/>
      <c r="U480" s="32">
        <v>0</v>
      </c>
      <c r="V480" s="32">
        <f t="shared" si="52"/>
        <v>0.60999999998603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0.07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ht="14.25" spans="1:34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</v>
      </c>
      <c r="T481" s="31"/>
      <c r="U481" s="32">
        <v>0</v>
      </c>
      <c r="V481" s="32">
        <f t="shared" si="52"/>
        <v>-26.310000000001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0.053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ht="14.25" spans="1:34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0.065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ht="14.25" spans="1:34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0.065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ht="14.25" spans="1:34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0.065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ht="14.25" spans="1:34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1527403.45631068</v>
      </c>
      <c r="X485" s="32"/>
      <c r="Y485" s="32">
        <f t="shared" si="54"/>
        <v>1527403.45631068</v>
      </c>
      <c r="Z485" s="32">
        <f t="shared" si="49"/>
        <v>45822.1036893204</v>
      </c>
      <c r="AA485" s="31">
        <v>1573225.56</v>
      </c>
      <c r="AB485" s="23">
        <v>0.07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ht="14.25" spans="1:34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</v>
      </c>
      <c r="X486" s="32"/>
      <c r="Y486" s="32">
        <f t="shared" si="54"/>
        <v>8162.53921568628</v>
      </c>
      <c r="Z486" s="32">
        <f t="shared" si="49"/>
        <v>163.250784313725</v>
      </c>
      <c r="AA486" s="34">
        <v>0</v>
      </c>
      <c r="AB486" s="24">
        <v>0.053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ht="14.25" spans="1:34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0.053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ht="14.25" spans="1:34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464891.44</v>
      </c>
      <c r="W488" s="32">
        <f t="shared" si="53"/>
        <v>1024757.4744</v>
      </c>
      <c r="X488" s="32"/>
      <c r="Y488" s="32">
        <f t="shared" si="54"/>
        <v>1024757.4744</v>
      </c>
      <c r="Z488" s="32">
        <f t="shared" si="49"/>
        <v>10351.0856</v>
      </c>
      <c r="AA488" s="31">
        <v>0</v>
      </c>
      <c r="AB488" s="23">
        <v>0.065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ht="14.25" spans="1:34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0.053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ht="14.25" spans="1:34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12955.1299999999</v>
      </c>
      <c r="T490" s="31"/>
      <c r="U490" s="32">
        <v>0</v>
      </c>
      <c r="V490" s="32">
        <f t="shared" si="52"/>
        <v>12955.1299999999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0.07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ht="14.25" spans="1:34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38476.2</v>
      </c>
      <c r="T491" s="31"/>
      <c r="U491" s="32">
        <v>0</v>
      </c>
      <c r="V491" s="32">
        <f t="shared" si="52"/>
        <v>38476.2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ht="14.25" spans="1:34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</v>
      </c>
      <c r="T492" s="31"/>
      <c r="U492" s="32"/>
      <c r="V492" s="32">
        <f t="shared" si="52"/>
        <v>1120.88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ht="14.25" spans="1:34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14940.0957527451</v>
      </c>
      <c r="AB493" s="23">
        <v>0.065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ht="14.25" spans="1:34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</v>
      </c>
      <c r="X494" s="32"/>
      <c r="Y494" s="32">
        <f t="shared" si="54"/>
        <v>570713.970588235</v>
      </c>
      <c r="Z494" s="32">
        <f t="shared" si="49"/>
        <v>11414.2794117647</v>
      </c>
      <c r="AA494" s="34">
        <v>678058.97</v>
      </c>
      <c r="AB494" s="24">
        <v>0.053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ht="14.25" spans="1:34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</v>
      </c>
      <c r="W495" s="32">
        <f t="shared" si="53"/>
        <v>342513.205882353</v>
      </c>
      <c r="X495" s="32"/>
      <c r="Y495" s="32">
        <f t="shared" si="54"/>
        <v>342513.205882353</v>
      </c>
      <c r="Z495" s="32">
        <f t="shared" si="49"/>
        <v>6850.26411764708</v>
      </c>
      <c r="AA495" s="34">
        <v>502818.25</v>
      </c>
      <c r="AB495" s="24">
        <v>0.053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ht="14.25" spans="1:34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1487.3952</v>
      </c>
      <c r="X496" s="32"/>
      <c r="Y496" s="32">
        <f t="shared" si="54"/>
        <v>1487.3952</v>
      </c>
      <c r="Z496" s="32">
        <f t="shared" si="49"/>
        <v>61.9748</v>
      </c>
      <c r="AA496" s="31">
        <v>535.520541163016</v>
      </c>
      <c r="AB496" s="23">
        <v>0.065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ht="14.25" spans="1:34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24365.376</v>
      </c>
      <c r="X497" s="32"/>
      <c r="Y497" s="32">
        <f t="shared" si="54"/>
        <v>24365.376</v>
      </c>
      <c r="Z497" s="32">
        <f t="shared" si="49"/>
        <v>1015.224</v>
      </c>
      <c r="AA497" s="31">
        <v>8772.48988107556</v>
      </c>
      <c r="AB497" s="23">
        <v>0.065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ht="14.25" spans="1:34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0.065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ht="14.25" spans="1:34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0.065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ht="14.25" spans="1:34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ht="14.25" spans="1:34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0.065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ht="14.25" spans="1:34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0.065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ht="14.25" spans="1:34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</v>
      </c>
      <c r="T503" s="31">
        <v>-4424.85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ht="14.25" spans="1:34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0.065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ht="14.25" spans="1:34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0.065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ht="14.25" spans="1:34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17629.44</v>
      </c>
      <c r="X506" s="32"/>
      <c r="Y506" s="32">
        <f t="shared" si="54"/>
        <v>17629.44</v>
      </c>
      <c r="Z506" s="32">
        <f t="shared" si="49"/>
        <v>734.560000000001</v>
      </c>
      <c r="AA506" s="31">
        <v>0</v>
      </c>
      <c r="AB506" s="23">
        <v>0.065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ht="14.25" spans="1:34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0.065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ht="14.25" spans="1:34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0.065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ht="14.25" spans="1:34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0.065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ht="14.25" spans="1:34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0.065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ht="14.25" spans="1:34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ht="14.25" spans="1:34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0.065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ht="14.25" spans="1:34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77628.3264</v>
      </c>
      <c r="X513" s="32"/>
      <c r="Y513" s="32">
        <f t="shared" si="54"/>
        <v>77628.3264</v>
      </c>
      <c r="Z513" s="32">
        <f t="shared" si="49"/>
        <v>3234.51360000001</v>
      </c>
      <c r="AA513" s="31">
        <v>27949.2386174886</v>
      </c>
      <c r="AB513" s="23">
        <v>0.065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ht="14.25" spans="1:34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45169.31</v>
      </c>
      <c r="T514" s="31"/>
      <c r="U514" s="32">
        <v>0</v>
      </c>
      <c r="V514" s="32">
        <f t="shared" si="55"/>
        <v>45169.31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ht="14.25" spans="1:34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0.065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ht="14.25" spans="1:34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0.065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ht="14.25" spans="1:34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0.065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ht="14.25" spans="1:34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</v>
      </c>
      <c r="AA518" s="31">
        <v>0</v>
      </c>
      <c r="AB518" s="23">
        <v>0.065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ht="14.25" spans="1:34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</v>
      </c>
      <c r="T519" s="31"/>
      <c r="U519" s="32">
        <v>21028.9</v>
      </c>
      <c r="V519" s="32">
        <f t="shared" si="55"/>
        <v>15081.9</v>
      </c>
      <c r="W519" s="32">
        <f t="shared" si="53"/>
        <v>20187.744</v>
      </c>
      <c r="X519" s="32"/>
      <c r="Y519" s="32">
        <f t="shared" si="54"/>
        <v>20187.744</v>
      </c>
      <c r="Z519" s="32">
        <f t="shared" si="56"/>
        <v>841.155999999999</v>
      </c>
      <c r="AA519" s="31">
        <v>7268.37870106104</v>
      </c>
      <c r="AB519" s="23">
        <v>0.065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ht="14.25" spans="1:34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0.065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ht="14.25" spans="1:34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ht="14.25" spans="1:34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</v>
      </c>
      <c r="T522" s="31"/>
      <c r="U522" s="32">
        <v>0</v>
      </c>
      <c r="V522" s="32">
        <f t="shared" si="55"/>
        <v>152.86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ht="14.25" spans="1:34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ht="14.25" spans="1:34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0.065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ht="14.25" spans="1:34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0.065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ht="14.25" spans="1:34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ht="14.25" spans="1:34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0.065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ht="14.25" spans="1:34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ht="14.25" spans="1:34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0.065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ht="14.25" spans="1:34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ht="14.25" spans="1:34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ht="14.25" spans="1:34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ht="14.25" spans="1:34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ht="14.25" spans="1:34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0.065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ht="14.25" spans="1:34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</v>
      </c>
      <c r="T535" s="31"/>
      <c r="U535" s="32">
        <v>0</v>
      </c>
      <c r="V535" s="32">
        <f t="shared" si="58"/>
        <v>9840.37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ht="14.25" spans="1:34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ht="14.25" spans="1:34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0.065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ht="14.25" spans="1:34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ht="14.25" spans="1:34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0.065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ht="14.25" spans="1:34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0.065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ht="14.25" spans="1:34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0.065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ht="14.25" spans="1:34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</v>
      </c>
      <c r="T542" s="31"/>
      <c r="U542" s="32">
        <v>0</v>
      </c>
      <c r="V542" s="32">
        <f t="shared" si="58"/>
        <v>17429.15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ht="14.25" spans="1:34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0.065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ht="14.25" spans="1:34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ht="14.25" spans="1:34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3692.256</v>
      </c>
      <c r="X545" s="32"/>
      <c r="Y545" s="32">
        <f t="shared" si="59"/>
        <v>3692.256</v>
      </c>
      <c r="Z545" s="32">
        <f t="shared" si="56"/>
        <v>153.844</v>
      </c>
      <c r="AA545" s="31">
        <v>0</v>
      </c>
      <c r="AB545" s="23">
        <v>0.065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ht="14.25" spans="1:34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9008.72</v>
      </c>
      <c r="T546" s="31"/>
      <c r="U546" s="32">
        <v>0</v>
      </c>
      <c r="V546" s="32">
        <f t="shared" si="58"/>
        <v>9008.72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0.065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ht="14.25" spans="1:34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0.065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ht="14.25" spans="1:34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0.065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ht="14.25" spans="1:34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ht="14.25" spans="1:34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0.065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ht="14.25" spans="1:34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48838.1399999999</v>
      </c>
      <c r="T551" s="31">
        <v>250623.24</v>
      </c>
      <c r="U551" s="32">
        <v>204639.82</v>
      </c>
      <c r="V551" s="32">
        <f t="shared" si="58"/>
        <v>94821.5599999999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0.053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ht="14.25" spans="1:34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0.065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ht="14.25" spans="1:34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0.065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ht="14.25" spans="1:34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335066.65</v>
      </c>
      <c r="W554" s="32">
        <f t="shared" si="57"/>
        <v>1929265.04854369</v>
      </c>
      <c r="X554" s="32"/>
      <c r="Y554" s="32">
        <f t="shared" si="59"/>
        <v>1929265.04854369</v>
      </c>
      <c r="Z554" s="32">
        <f t="shared" si="56"/>
        <v>57877.9514563107</v>
      </c>
      <c r="AA554" s="31">
        <v>1987143</v>
      </c>
      <c r="AB554" s="23">
        <v>0.07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ht="14.25" spans="1:34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ht="14.25" spans="1:34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0.053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ht="14.25" spans="1:34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ht="14.25" spans="1:34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0.065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ht="14.25" spans="1:34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8095.20000000001</v>
      </c>
      <c r="T559" s="31">
        <v>20000</v>
      </c>
      <c r="U559" s="32">
        <v>25080</v>
      </c>
      <c r="V559" s="32">
        <f t="shared" si="60"/>
        <v>3015.20000000001</v>
      </c>
      <c r="W559" s="32">
        <f t="shared" si="57"/>
        <v>24588.2352941176</v>
      </c>
      <c r="X559" s="32"/>
      <c r="Y559" s="32">
        <f t="shared" si="59"/>
        <v>24588.2352941176</v>
      </c>
      <c r="Z559" s="32">
        <f t="shared" si="56"/>
        <v>491.764705882353</v>
      </c>
      <c r="AA559" s="31">
        <v>8668.59121602228</v>
      </c>
      <c r="AB559" s="23">
        <v>0.065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ht="14.25" spans="1:34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1479.88235294118</v>
      </c>
      <c r="X560" s="32"/>
      <c r="Y560" s="32">
        <f t="shared" si="59"/>
        <v>1479.88235294118</v>
      </c>
      <c r="Z560" s="32">
        <f t="shared" si="56"/>
        <v>29.5976470588237</v>
      </c>
      <c r="AA560" s="31">
        <v>521.733056968155</v>
      </c>
      <c r="AB560" s="23">
        <v>0.065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ht="14.25" spans="1:34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0.065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ht="14.25" spans="1:34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35245.7</v>
      </c>
      <c r="T562" s="31"/>
      <c r="U562" s="32">
        <v>0</v>
      </c>
      <c r="V562" s="32">
        <f t="shared" si="60"/>
        <v>35245.7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0.065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ht="14.25" spans="1:34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0.053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ht="14.25" spans="1:34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0.053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ht="14.25" spans="1:34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0.065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ht="14.25" spans="1:34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</v>
      </c>
      <c r="V566" s="32">
        <f t="shared" si="60"/>
        <v>7171.85</v>
      </c>
      <c r="W566" s="32">
        <f t="shared" si="57"/>
        <v>78.792</v>
      </c>
      <c r="X566" s="32"/>
      <c r="Y566" s="32">
        <f t="shared" si="59"/>
        <v>78.792</v>
      </c>
      <c r="Z566" s="32">
        <f t="shared" si="56"/>
        <v>1.608</v>
      </c>
      <c r="AA566" s="31">
        <v>27.7892637068657</v>
      </c>
      <c r="AB566" s="23">
        <v>0.065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ht="14.25" spans="1:34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ht="14.25" spans="1:34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4790.4</v>
      </c>
      <c r="V568" s="32">
        <f t="shared" si="60"/>
        <v>10674.77</v>
      </c>
      <c r="W568" s="32">
        <f t="shared" si="57"/>
        <v>4696.47058823529</v>
      </c>
      <c r="X568" s="32"/>
      <c r="Y568" s="32">
        <f t="shared" si="59"/>
        <v>4696.47058823529</v>
      </c>
      <c r="Z568" s="32">
        <f t="shared" si="56"/>
        <v>93.9294117647059</v>
      </c>
      <c r="AA568" s="31">
        <v>1655.74239877325</v>
      </c>
      <c r="AB568" s="23">
        <v>0.065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ht="14.25" spans="1:34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4204.9</v>
      </c>
      <c r="T569" s="31"/>
      <c r="U569" s="32">
        <v>0</v>
      </c>
      <c r="V569" s="32">
        <f t="shared" si="60"/>
        <v>4204.9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0.065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ht="14.25" spans="1:34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30000</v>
      </c>
      <c r="T570" s="31"/>
      <c r="U570" s="32">
        <v>0</v>
      </c>
      <c r="V570" s="32">
        <f t="shared" si="60"/>
        <v>30000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ht="14.25" spans="1:34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0.065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ht="14.25" spans="1:34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1668.63</v>
      </c>
      <c r="W572" s="32">
        <f t="shared" si="57"/>
        <v>38480.778</v>
      </c>
      <c r="X572" s="32"/>
      <c r="Y572" s="32">
        <f t="shared" si="59"/>
        <v>38480.778</v>
      </c>
      <c r="Z572" s="32">
        <f t="shared" si="56"/>
        <v>785.322</v>
      </c>
      <c r="AA572" s="31">
        <v>13571.8408910468</v>
      </c>
      <c r="AB572" s="23">
        <v>0.065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ht="14.25" spans="1:34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40046.98</v>
      </c>
      <c r="W573" s="32">
        <f t="shared" si="57"/>
        <v>30738.2549019608</v>
      </c>
      <c r="X573" s="32"/>
      <c r="Y573" s="32">
        <f t="shared" si="59"/>
        <v>30738.2549019608</v>
      </c>
      <c r="Z573" s="32">
        <f t="shared" si="56"/>
        <v>614.765098039217</v>
      </c>
      <c r="AA573" s="31">
        <v>31353.02</v>
      </c>
      <c r="AB573" s="23">
        <v>0.053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ht="14.25" spans="1:34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39515.27</v>
      </c>
      <c r="V574" s="32">
        <v>0</v>
      </c>
      <c r="W574" s="32">
        <f t="shared" si="57"/>
        <v>37995.4519230769</v>
      </c>
      <c r="X574" s="32"/>
      <c r="Y574" s="32">
        <f t="shared" si="59"/>
        <v>37995.4519230769</v>
      </c>
      <c r="Z574" s="32">
        <f t="shared" si="56"/>
        <v>1519.81807692307</v>
      </c>
      <c r="AA574" s="34">
        <v>39515.27</v>
      </c>
      <c r="AB574" s="24">
        <v>0.133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ht="14.25" spans="1:34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94049.7254901961</v>
      </c>
      <c r="X575" s="32"/>
      <c r="Y575" s="32">
        <f t="shared" si="59"/>
        <v>94049.7254901961</v>
      </c>
      <c r="Z575" s="32">
        <f t="shared" si="56"/>
        <v>1880.99450980392</v>
      </c>
      <c r="AA575" s="34">
        <v>0</v>
      </c>
      <c r="AB575" s="24">
        <v>0.053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ht="14.25" spans="1:34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</v>
      </c>
      <c r="X576" s="32"/>
      <c r="Y576" s="32">
        <f t="shared" si="59"/>
        <v>150445.862745098</v>
      </c>
      <c r="Z576" s="32">
        <f t="shared" si="56"/>
        <v>3008.91725490196</v>
      </c>
      <c r="AA576" s="34">
        <v>0</v>
      </c>
      <c r="AB576" s="24">
        <v>0.053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ht="14.25" spans="1:34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1105.37</v>
      </c>
      <c r="T577" s="31"/>
      <c r="U577" s="32">
        <v>0</v>
      </c>
      <c r="V577" s="32">
        <f t="shared" si="61"/>
        <v>1105.37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0.053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ht="14.25" spans="1:34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0.07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ht="14.25" spans="1:34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f t="shared" si="61"/>
        <v>153409.51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0.07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ht="14.25" spans="1:34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0.07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0.065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ht="14.25" spans="1:34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0.053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ht="14.25" spans="1:34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</v>
      </c>
      <c r="T582" s="31"/>
      <c r="U582" s="32">
        <v>22793.73</v>
      </c>
      <c r="V582" s="32">
        <f t="shared" si="61"/>
        <v>8243.4299999997</v>
      </c>
      <c r="W582" s="32">
        <f t="shared" si="57"/>
        <v>22129.8349514563</v>
      </c>
      <c r="X582" s="32"/>
      <c r="Y582" s="32">
        <f t="shared" si="59"/>
        <v>22129.8349514563</v>
      </c>
      <c r="Z582" s="32">
        <f t="shared" si="62"/>
        <v>663.895048543691</v>
      </c>
      <c r="AA582" s="31">
        <v>22793.73</v>
      </c>
      <c r="AB582" s="23">
        <v>0.07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ht="14.25" spans="1:34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10891.2807017544</v>
      </c>
      <c r="X583" s="32"/>
      <c r="Y583" s="32">
        <f t="shared" si="59"/>
        <v>10891.2807017544</v>
      </c>
      <c r="Z583" s="32">
        <f t="shared" si="62"/>
        <v>1524.77929824562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ht="14.25" spans="1:34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0.07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-11603.7943925234</v>
      </c>
      <c r="X584" s="32"/>
      <c r="Y584" s="32">
        <f t="shared" si="59"/>
        <v>-11603.7943925234</v>
      </c>
      <c r="Z584" s="32">
        <f t="shared" si="62"/>
        <v>-812.265607476636</v>
      </c>
      <c r="AA584" s="31">
        <v>0</v>
      </c>
      <c r="AB584" s="23">
        <v>0.065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ht="14.25" spans="1:34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ht="14.25" spans="1:34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0.07</v>
      </c>
      <c r="Q586" s="29" t="s">
        <v>855</v>
      </c>
      <c r="R586" s="30"/>
      <c r="S586" s="31">
        <v>19494.85</v>
      </c>
      <c r="T586" s="31"/>
      <c r="U586" s="32">
        <v>13602</v>
      </c>
      <c r="V586" s="32">
        <f t="shared" si="61"/>
        <v>5892.85</v>
      </c>
      <c r="W586" s="32">
        <f t="shared" si="57"/>
        <v>12712.1495327103</v>
      </c>
      <c r="X586" s="32"/>
      <c r="Y586" s="32">
        <f t="shared" si="59"/>
        <v>12712.1495327103</v>
      </c>
      <c r="Z586" s="32">
        <f t="shared" si="62"/>
        <v>889.85046728972</v>
      </c>
      <c r="AA586" s="31">
        <v>4701.36274801974</v>
      </c>
      <c r="AB586" s="23">
        <v>0.065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ht="14.25" spans="1:34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ht="14.25" spans="1:34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81722.7428571429</v>
      </c>
      <c r="X588" s="32"/>
      <c r="Y588" s="32">
        <f t="shared" si="59"/>
        <v>81722.7428571429</v>
      </c>
      <c r="Z588" s="32">
        <f t="shared" si="62"/>
        <v>4086.13714285714</v>
      </c>
      <c r="AA588" s="34">
        <v>85808.88</v>
      </c>
      <c r="AB588" s="24">
        <v>0.133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ht="14.25" spans="1:34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</v>
      </c>
      <c r="V589" s="32">
        <f t="shared" si="61"/>
        <v>193872.66</v>
      </c>
      <c r="W589" s="32">
        <f t="shared" si="57"/>
        <v>309928.764705882</v>
      </c>
      <c r="X589" s="32"/>
      <c r="Y589" s="32">
        <f t="shared" si="59"/>
        <v>309928.764705882</v>
      </c>
      <c r="Z589" s="32">
        <f t="shared" si="62"/>
        <v>6198.57529411768</v>
      </c>
      <c r="AA589" s="34">
        <v>365500.79</v>
      </c>
      <c r="AB589" s="24">
        <v>0.053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ht="14.25" spans="1:34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</v>
      </c>
      <c r="X590" s="32"/>
      <c r="Y590" s="32">
        <f t="shared" si="59"/>
        <v>47474.4711538461</v>
      </c>
      <c r="Z590" s="32">
        <f t="shared" si="62"/>
        <v>1898.97884615385</v>
      </c>
      <c r="AA590" s="34">
        <v>0</v>
      </c>
      <c r="AB590" s="24">
        <v>0.053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ht="14.25" spans="1:34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0.07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ht="14.25" spans="1:34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0.053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ht="14.25" spans="1:34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ht="14.25" spans="1:34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0.065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ht="14.25" spans="1:34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ht="14.25" spans="1:34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0.053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ht="14.25" spans="1:34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43</v>
      </c>
      <c r="P597" s="24">
        <v>0.03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171128.446601942</v>
      </c>
      <c r="X597" s="32"/>
      <c r="Y597" s="32">
        <f t="shared" ref="Y597:Y629" si="65">W597+X597</f>
        <v>171128.446601942</v>
      </c>
      <c r="Z597" s="32">
        <f t="shared" si="62"/>
        <v>5133.85339805824</v>
      </c>
      <c r="AA597" s="34">
        <v>1171606.95</v>
      </c>
      <c r="AB597" s="24">
        <v>0.07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ht="14.25" spans="1:34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0.07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ht="14.25" spans="1:34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0.07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ht="14.25" spans="1:34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0.07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ht="14.25" spans="1:34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</v>
      </c>
      <c r="T601" s="31"/>
      <c r="U601" s="32">
        <v>1031326.48</v>
      </c>
      <c r="V601" s="32">
        <f t="shared" si="64"/>
        <v>1205405.26</v>
      </c>
      <c r="W601" s="32">
        <f t="shared" si="63"/>
        <v>1011104.39215686</v>
      </c>
      <c r="X601" s="32"/>
      <c r="Y601" s="32">
        <f t="shared" si="65"/>
        <v>1011104.39215686</v>
      </c>
      <c r="Z601" s="32">
        <f t="shared" si="62"/>
        <v>20222.0878431373</v>
      </c>
      <c r="AA601" s="31">
        <v>356465.21791783</v>
      </c>
      <c r="AB601" s="23">
        <v>0.065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ht="14.25" spans="1:34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68314.04</v>
      </c>
      <c r="V602" s="32">
        <f t="shared" si="64"/>
        <v>58382.72</v>
      </c>
      <c r="W602" s="32">
        <f t="shared" si="63"/>
        <v>68314.04</v>
      </c>
      <c r="X602" s="32"/>
      <c r="Y602" s="32">
        <f t="shared" si="65"/>
        <v>68314.04</v>
      </c>
      <c r="Z602" s="32">
        <f t="shared" si="62"/>
        <v>0</v>
      </c>
      <c r="AA602" s="31">
        <v>68314.04</v>
      </c>
      <c r="AB602" s="23">
        <v>0.053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ht="14.25" spans="1:34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0.065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ht="14.25" spans="1:34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4718.4</v>
      </c>
      <c r="T604" s="31"/>
      <c r="U604" s="32">
        <v>0</v>
      </c>
      <c r="V604" s="32">
        <f t="shared" si="64"/>
        <v>4718.4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0.065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ht="14.25" spans="1:34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0.065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ht="14.25" spans="1:34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68219.5627692654</v>
      </c>
      <c r="AB606" s="23">
        <v>0.065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ht="14.25" spans="1:34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0.065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ht="14.25" spans="1:34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0.065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ht="14.25" spans="1:34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</v>
      </c>
      <c r="T609" s="31"/>
      <c r="U609" s="32">
        <v>17286.58</v>
      </c>
      <c r="V609" s="32">
        <f t="shared" si="64"/>
        <v>-42</v>
      </c>
      <c r="W609" s="32">
        <f t="shared" si="63"/>
        <v>16947.6274509804</v>
      </c>
      <c r="X609" s="32"/>
      <c r="Y609" s="32">
        <f t="shared" si="65"/>
        <v>16947.6274509804</v>
      </c>
      <c r="Z609" s="32">
        <f t="shared" si="62"/>
        <v>338.952549019607</v>
      </c>
      <c r="AA609" s="31">
        <v>5974.89216678893</v>
      </c>
      <c r="AB609" s="23">
        <v>0.065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ht="14.25" spans="1:34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0.065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ht="14.25" spans="1:34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-8715.21</v>
      </c>
      <c r="U611" s="32">
        <v>0</v>
      </c>
      <c r="V611" s="32">
        <f t="shared" si="64"/>
        <v>-8715.21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ht="14.25" spans="1:34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8715.21</v>
      </c>
      <c r="T612" s="31"/>
      <c r="U612" s="32">
        <v>0</v>
      </c>
      <c r="V612" s="32">
        <f t="shared" si="64"/>
        <v>8715.21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ht="14.25" spans="1:34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0.065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ht="14.25" spans="1:34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0.065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ht="14.25" spans="1:34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9943.99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17283.9576967433</v>
      </c>
      <c r="AB615" s="23">
        <v>0.065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ht="14.25" spans="1:34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0.065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ht="14.25" spans="1:34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0.065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ht="14.25" spans="1:34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ht="14.25" spans="1:34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ht="14.25" spans="1:34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ht="14.25" spans="1:34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</v>
      </c>
      <c r="X621" s="32"/>
      <c r="Y621" s="32">
        <f t="shared" si="65"/>
        <v>7.76190476190476</v>
      </c>
      <c r="Z621" s="32">
        <f t="shared" si="62"/>
        <v>0.388095238095238</v>
      </c>
      <c r="AA621" s="34">
        <v>8.15</v>
      </c>
      <c r="AB621" s="24">
        <v>0.053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ht="14.25" spans="1:34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ht="14.25" spans="1:34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0.053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ht="14.25" spans="1:34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1665023.80952381</v>
      </c>
      <c r="X624" s="32"/>
      <c r="Y624" s="32">
        <f t="shared" si="65"/>
        <v>1665023.80952381</v>
      </c>
      <c r="Z624" s="32">
        <f t="shared" si="62"/>
        <v>83251.1904761905</v>
      </c>
      <c r="AA624" s="34">
        <v>0</v>
      </c>
      <c r="AB624" s="24">
        <v>0.07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ht="14.25" spans="1:34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0.07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ht="14.25" spans="1:34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ht="14.25" spans="1:34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42622.7099999999</v>
      </c>
      <c r="T627" s="31">
        <v>2000</v>
      </c>
      <c r="U627" s="32">
        <v>44622.7099999999</v>
      </c>
      <c r="V627" s="32">
        <f t="shared" si="66"/>
        <v>0</v>
      </c>
      <c r="W627" s="32">
        <f t="shared" si="63"/>
        <v>43747.7549019607</v>
      </c>
      <c r="X627" s="32"/>
      <c r="Y627" s="32">
        <f t="shared" si="65"/>
        <v>43747.7549019607</v>
      </c>
      <c r="Z627" s="32">
        <f t="shared" si="62"/>
        <v>874.955098039216</v>
      </c>
      <c r="AA627" s="31">
        <v>28489.5082193896</v>
      </c>
      <c r="AB627" s="23">
        <v>0.065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ht="14.25" spans="1:34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312196.76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0.065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ht="14.25" spans="1:34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ht="14.25" spans="1:34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1099604.988</v>
      </c>
      <c r="U630" s="32">
        <v>949022.08</v>
      </c>
      <c r="V630" s="32">
        <f t="shared" si="66"/>
        <v>150582.908</v>
      </c>
      <c r="W630" s="32">
        <f t="shared" si="63"/>
        <v>825236.591304348</v>
      </c>
      <c r="X630" s="32"/>
      <c r="Y630" s="32"/>
      <c r="Z630" s="32">
        <f t="shared" si="62"/>
        <v>123785.488695652</v>
      </c>
      <c r="AA630" s="31">
        <v>751262.670320001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ht="14.25" spans="1:34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</v>
      </c>
      <c r="W631" s="32">
        <f t="shared" si="63"/>
        <v>81032</v>
      </c>
      <c r="X631" s="32"/>
      <c r="Y631" s="32"/>
      <c r="Z631" s="32">
        <f t="shared" si="62"/>
        <v>12154.8</v>
      </c>
      <c r="AA631" s="31">
        <v>73768.3197071409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ht="14.25" spans="1:34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459000.024</v>
      </c>
      <c r="U632" s="32">
        <v>459001.27</v>
      </c>
      <c r="V632" s="32">
        <f t="shared" si="66"/>
        <v>-1.24600000004284</v>
      </c>
      <c r="W632" s="32">
        <f t="shared" si="63"/>
        <v>399131.539130435</v>
      </c>
      <c r="X632" s="32"/>
      <c r="Y632" s="32"/>
      <c r="Z632" s="32">
        <f t="shared" si="62"/>
        <v>59869.7308695652</v>
      </c>
      <c r="AA632" s="31">
        <v>363353.526801475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ht="14.25" spans="1:34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</v>
      </c>
      <c r="U633" s="32">
        <v>395.8</v>
      </c>
      <c r="V633" s="32">
        <f t="shared" si="66"/>
        <v>-0.807999999994991</v>
      </c>
      <c r="W633" s="32">
        <f t="shared" si="63"/>
        <v>344.173913043478</v>
      </c>
      <c r="X633" s="32"/>
      <c r="Y633" s="32"/>
      <c r="Z633" s="32">
        <f t="shared" si="62"/>
        <v>51.6260869565217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ht="14.25" spans="1:34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6814.008</v>
      </c>
      <c r="U634" s="32">
        <v>6812.64</v>
      </c>
      <c r="V634" s="32">
        <f t="shared" si="66"/>
        <v>1.36799999999948</v>
      </c>
      <c r="W634" s="32">
        <f t="shared" si="63"/>
        <v>5924.0347826087</v>
      </c>
      <c r="X634" s="32"/>
      <c r="Y634" s="32"/>
      <c r="Z634" s="32">
        <f t="shared" si="62"/>
        <v>888.605217391304</v>
      </c>
      <c r="AA634" s="31">
        <v>5393.00636538283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ht="14.25" spans="1:34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4208.86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0.07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ht="14.25" spans="1:34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</v>
      </c>
      <c r="X636" s="32"/>
      <c r="Y636" s="32">
        <f t="shared" si="67"/>
        <v>36567.7058823529</v>
      </c>
      <c r="Z636" s="32">
        <f t="shared" si="62"/>
        <v>731.354117647061</v>
      </c>
      <c r="AA636" s="31">
        <v>0</v>
      </c>
      <c r="AB636" s="23">
        <v>0.065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ht="14.25" spans="1:34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0.065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ht="14.25" spans="1:34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ht="14.25" spans="1:34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0.053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ht="14.25" spans="1:34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</v>
      </c>
      <c r="T640" s="31"/>
      <c r="U640" s="32">
        <v>0</v>
      </c>
      <c r="V640" s="32">
        <f t="shared" ref="V640:V685" si="68">S640+T640-U640</f>
        <v>164204.98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0.07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ht="14.25" spans="1:34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3.08799999999974</v>
      </c>
      <c r="T641" s="31"/>
      <c r="U641" s="32">
        <v>0</v>
      </c>
      <c r="V641" s="32">
        <f t="shared" si="68"/>
        <v>3.08799999999974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ht="14.25" spans="1:34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17378.996</v>
      </c>
      <c r="T642" s="31">
        <v>-17378.004</v>
      </c>
      <c r="U642" s="32">
        <v>0</v>
      </c>
      <c r="V642" s="32">
        <f t="shared" si="68"/>
        <v>0.99199999999837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ht="14.25" spans="1:34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</v>
      </c>
      <c r="T643" s="31"/>
      <c r="U643" s="32">
        <v>0</v>
      </c>
      <c r="V643" s="32">
        <f t="shared" si="68"/>
        <v>0.105999999999312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ht="14.25" spans="1:34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</v>
      </c>
      <c r="X644" s="32"/>
      <c r="Y644" s="32">
        <f t="shared" si="67"/>
        <v>7678.33980582524</v>
      </c>
      <c r="Z644" s="32">
        <f t="shared" si="62"/>
        <v>230.350194174757</v>
      </c>
      <c r="AA644" s="31">
        <v>2733.54069634144</v>
      </c>
      <c r="AB644" s="23">
        <v>0.065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ht="14.25" spans="1:34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0.07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ht="14.25" spans="1:34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0.07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0.065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ht="14.25" spans="1:34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</v>
      </c>
      <c r="X647" s="32"/>
      <c r="Y647" s="32">
        <f t="shared" si="67"/>
        <v>3307.61764705882</v>
      </c>
      <c r="Z647" s="32">
        <f t="shared" si="69"/>
        <v>66.1523529411766</v>
      </c>
      <c r="AA647" s="34">
        <v>16654.51</v>
      </c>
      <c r="AB647" s="24">
        <v>0.053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ht="14.25" spans="1:34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0.053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ht="14.25" spans="1:34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</v>
      </c>
      <c r="X649" s="32"/>
      <c r="Y649" s="32">
        <f t="shared" si="67"/>
        <v>180979.225490196</v>
      </c>
      <c r="Z649" s="32">
        <f t="shared" si="69"/>
        <v>3619.58450980391</v>
      </c>
      <c r="AA649" s="31">
        <v>184598.81</v>
      </c>
      <c r="AB649" s="23">
        <v>0.053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ht="14.25" spans="1:34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507130.2</v>
      </c>
      <c r="W650" s="32">
        <f t="shared" si="63"/>
        <v>234859.126213592</v>
      </c>
      <c r="X650" s="32"/>
      <c r="Y650" s="32">
        <f t="shared" si="67"/>
        <v>234859.126213592</v>
      </c>
      <c r="Z650" s="32">
        <f t="shared" si="69"/>
        <v>7045.77378640778</v>
      </c>
      <c r="AA650" s="31">
        <v>241904.9</v>
      </c>
      <c r="AB650" s="23">
        <v>0.07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ht="14.25" spans="1:34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966666.666666667</v>
      </c>
      <c r="X651" s="32"/>
      <c r="Y651" s="32">
        <f t="shared" si="67"/>
        <v>966666.666666667</v>
      </c>
      <c r="Z651" s="32">
        <f t="shared" si="69"/>
        <v>48333.3333333334</v>
      </c>
      <c r="AA651" s="34">
        <v>1233166.19</v>
      </c>
      <c r="AB651" s="24">
        <v>0.07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ht="14.25" spans="1:34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4281833.81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0.07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ht="14.25" spans="1:34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</v>
      </c>
      <c r="T653" s="31"/>
      <c r="U653" s="32">
        <v>0</v>
      </c>
      <c r="V653" s="32">
        <f t="shared" si="68"/>
        <v>266206.9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0.065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ht="14.25" spans="1:34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ht="14.25" spans="1:34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5345.29411764706</v>
      </c>
      <c r="X655" s="32"/>
      <c r="Y655" s="32">
        <f t="shared" si="67"/>
        <v>5345.29411764706</v>
      </c>
      <c r="Z655" s="32">
        <f t="shared" si="69"/>
        <v>106.905882352941</v>
      </c>
      <c r="AA655" s="31">
        <v>0</v>
      </c>
      <c r="AB655" s="23">
        <v>0.065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ht="14.25" spans="1:34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1847.5332512397</v>
      </c>
      <c r="AB656" s="23">
        <v>0.065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ht="14.25" spans="1:34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9717.38</v>
      </c>
      <c r="T657" s="31">
        <v>-9717.38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0.053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ht="14.25" spans="1:34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0.07</v>
      </c>
      <c r="Q658" s="29">
        <v>1000049149</v>
      </c>
      <c r="R658" s="39"/>
      <c r="S658" s="31">
        <v>10221.22</v>
      </c>
      <c r="T658" s="31"/>
      <c r="U658" s="32">
        <v>0</v>
      </c>
      <c r="V658" s="32">
        <f t="shared" si="68"/>
        <v>10221.22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ht="14.25" spans="1:34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ht="14.25" spans="1:34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12660.83</v>
      </c>
      <c r="W660" s="32">
        <f t="shared" si="70"/>
        <v>4662.94117647059</v>
      </c>
      <c r="X660" s="32"/>
      <c r="Y660" s="32">
        <f t="shared" si="67"/>
        <v>4662.94117647059</v>
      </c>
      <c r="Z660" s="32">
        <f t="shared" si="69"/>
        <v>93.2588235294115</v>
      </c>
      <c r="AA660" s="31">
        <v>1643.92159256958</v>
      </c>
      <c r="AB660" s="23">
        <v>0.065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ht="14.25" spans="1:34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ht="14.25" spans="1:34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ht="14.25" spans="1:34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52240.96</v>
      </c>
      <c r="T663" s="31">
        <v>250000</v>
      </c>
      <c r="U663" s="32">
        <v>127304</v>
      </c>
      <c r="V663" s="32">
        <f t="shared" si="68"/>
        <v>174936.96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</v>
      </c>
      <c r="AB663" s="23">
        <v>0.065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ht="14.25" spans="1:34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</v>
      </c>
      <c r="X664" s="32"/>
      <c r="Y664" s="32">
        <f t="shared" si="67"/>
        <v>14431.2745098039</v>
      </c>
      <c r="Z664" s="32">
        <f t="shared" si="69"/>
        <v>288.625490196078</v>
      </c>
      <c r="AA664" s="31">
        <v>0</v>
      </c>
      <c r="AB664" s="23">
        <v>0.165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ht="14.25" spans="1:34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0.053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ht="14.25" spans="1:34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ht="14.25" spans="1:34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0.053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ht="14.25" spans="1:34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78049.9</v>
      </c>
      <c r="V668" s="32">
        <f t="shared" si="68"/>
        <v>33717.66</v>
      </c>
      <c r="W668" s="32">
        <f t="shared" si="70"/>
        <v>76519.5098039216</v>
      </c>
      <c r="X668" s="32"/>
      <c r="Y668" s="32">
        <f t="shared" si="67"/>
        <v>76519.5098039216</v>
      </c>
      <c r="Z668" s="32">
        <f t="shared" si="69"/>
        <v>1530.39019607843</v>
      </c>
      <c r="AA668" s="31">
        <v>26976.9807636131</v>
      </c>
      <c r="AB668" s="23">
        <v>0.065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ht="14.25" spans="1:34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</v>
      </c>
      <c r="W669" s="32">
        <f t="shared" si="70"/>
        <v>84675.3921568627</v>
      </c>
      <c r="X669" s="32"/>
      <c r="Y669" s="32">
        <f t="shared" si="67"/>
        <v>84675.3921568627</v>
      </c>
      <c r="Z669" s="32">
        <f t="shared" si="69"/>
        <v>1693.50784313725</v>
      </c>
      <c r="AA669" s="31">
        <v>29852.3400270138</v>
      </c>
      <c r="AB669" s="23">
        <v>0.065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ht="14.25" spans="1:34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</v>
      </c>
      <c r="T670" s="31"/>
      <c r="U670" s="32">
        <v>0</v>
      </c>
      <c r="V670" s="32">
        <f t="shared" si="68"/>
        <v>138788.48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0.065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ht="14.25" spans="1:34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ht="14.25" spans="1:34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</v>
      </c>
      <c r="T672" s="34"/>
      <c r="U672" s="34">
        <v>74281.21</v>
      </c>
      <c r="V672" s="32">
        <f t="shared" si="68"/>
        <v>0</v>
      </c>
      <c r="W672" s="32">
        <f t="shared" si="70"/>
        <v>71424.2403846154</v>
      </c>
      <c r="X672" s="32"/>
      <c r="Y672" s="32">
        <f t="shared" si="67"/>
        <v>71424.2403846154</v>
      </c>
      <c r="Z672" s="32">
        <f t="shared" si="69"/>
        <v>2856.96961538462</v>
      </c>
      <c r="AA672" s="34">
        <v>0</v>
      </c>
      <c r="AB672" s="24">
        <v>0.053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ht="14.25" spans="1:34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0.053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ht="14.25" spans="1:34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</v>
      </c>
      <c r="T674" s="34"/>
      <c r="U674" s="32">
        <v>632421.600000001</v>
      </c>
      <c r="V674" s="32">
        <f t="shared" si="68"/>
        <v>0</v>
      </c>
      <c r="W674" s="32">
        <f t="shared" si="70"/>
        <v>602306.285714287</v>
      </c>
      <c r="X674" s="32"/>
      <c r="Y674" s="32">
        <f t="shared" si="67"/>
        <v>602306.285714287</v>
      </c>
      <c r="Z674" s="32">
        <f t="shared" si="69"/>
        <v>30115.3142857144</v>
      </c>
      <c r="AA674" s="34">
        <v>0</v>
      </c>
      <c r="AB674" s="24">
        <v>0.07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ht="14.25" spans="1:34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2036586.93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5745834.67</v>
      </c>
      <c r="AB675" s="24">
        <v>0.07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ht="14.25" spans="1:34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2566.20000000001</v>
      </c>
      <c r="T676" s="34">
        <v>0</v>
      </c>
      <c r="U676" s="34">
        <v>2566.20000000001</v>
      </c>
      <c r="V676" s="32">
        <f t="shared" si="68"/>
        <v>0</v>
      </c>
      <c r="W676" s="32">
        <f t="shared" si="70"/>
        <v>2444.00000000001</v>
      </c>
      <c r="X676" s="32"/>
      <c r="Y676" s="32">
        <f t="shared" si="67"/>
        <v>2444.00000000001</v>
      </c>
      <c r="Z676" s="32">
        <f t="shared" si="69"/>
        <v>122.200000000001</v>
      </c>
      <c r="AA676" s="34">
        <v>61672.49</v>
      </c>
      <c r="AB676" s="24">
        <v>0.053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ht="14.25" spans="1:34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0.053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ht="14.25" spans="1:34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0.053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ht="14.25" spans="1:34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0.07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ht="14.25" spans="1:34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</v>
      </c>
      <c r="T680" s="31"/>
      <c r="U680" s="32">
        <v>0</v>
      </c>
      <c r="V680" s="32">
        <f t="shared" si="68"/>
        <v>1262.41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ht="14.25" spans="1:34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49137.92</v>
      </c>
      <c r="T681" s="31">
        <v>100000</v>
      </c>
      <c r="U681" s="32">
        <v>108111.83</v>
      </c>
      <c r="V681" s="32">
        <f t="shared" si="68"/>
        <v>41026.09</v>
      </c>
      <c r="W681" s="32">
        <f t="shared" si="70"/>
        <v>105991.990196078</v>
      </c>
      <c r="X681" s="32"/>
      <c r="Y681" s="32">
        <f t="shared" si="67"/>
        <v>105991.990196078</v>
      </c>
      <c r="Z681" s="32">
        <f t="shared" si="69"/>
        <v>2119.83980392157</v>
      </c>
      <c r="AA681" s="31">
        <v>37367.5143495253</v>
      </c>
      <c r="AB681" s="23">
        <v>0.065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ht="14.25" spans="1:34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1433.02752293578</v>
      </c>
      <c r="X682" s="32"/>
      <c r="Y682" s="32"/>
      <c r="Z682" s="32">
        <f t="shared" si="69"/>
        <v>128.97247706422</v>
      </c>
      <c r="AA682" s="31">
        <v>539.885944155774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ht="14.25" spans="1:34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4249.73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4279.1568627451</v>
      </c>
      <c r="X683" s="32"/>
      <c r="Y683" s="32">
        <f t="shared" ref="Y683:Y746" si="71">W683+X683</f>
        <v>4279.1568627451</v>
      </c>
      <c r="Z683" s="32">
        <f t="shared" si="69"/>
        <v>85.5831372549019</v>
      </c>
      <c r="AA683" s="31">
        <v>1508.61829442668</v>
      </c>
      <c r="AB683" s="23">
        <v>0.065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ht="14.25" spans="1:34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0.065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ht="14.25" spans="1:34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0.053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ht="14.25" spans="1:34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0.07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ht="14.25" spans="1:34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0.07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ht="14.25" spans="1:34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</v>
      </c>
      <c r="X688" s="32"/>
      <c r="Y688" s="32">
        <f t="shared" si="71"/>
        <v>5107.8431372549</v>
      </c>
      <c r="Z688" s="32">
        <f t="shared" si="69"/>
        <v>102.156862745098</v>
      </c>
      <c r="AA688" s="31">
        <v>1800.77193921356</v>
      </c>
      <c r="AB688" s="23">
        <v>0.065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ht="14.25" spans="1:34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ht="14.25" spans="1:34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ht="14.25" spans="1:34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ht="14.25" spans="1:34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ht="14.25" spans="1:34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</v>
      </c>
      <c r="T693" s="31">
        <v>497588.97</v>
      </c>
      <c r="U693" s="32">
        <v>403053.3</v>
      </c>
      <c r="V693" s="32">
        <f t="shared" si="72"/>
        <v>193515.47</v>
      </c>
      <c r="W693" s="32">
        <f t="shared" si="70"/>
        <v>395150.294117647</v>
      </c>
      <c r="X693" s="32"/>
      <c r="Y693" s="32">
        <f t="shared" si="71"/>
        <v>395150.294117647</v>
      </c>
      <c r="Z693" s="32">
        <f t="shared" si="69"/>
        <v>7903.00588235294</v>
      </c>
      <c r="AA693" s="31">
        <v>139310.378627145</v>
      </c>
      <c r="AB693" s="23">
        <v>0.065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ht="14.25" spans="1:34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0.07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ht="14.25" spans="1:34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0.053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ht="14.25" spans="1:34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10885.8823529412</v>
      </c>
      <c r="X696" s="32"/>
      <c r="Y696" s="32">
        <f t="shared" si="71"/>
        <v>10885.8823529412</v>
      </c>
      <c r="Z696" s="32">
        <f t="shared" si="69"/>
        <v>217.717647058824</v>
      </c>
      <c r="AA696" s="31">
        <v>3837.82174745714</v>
      </c>
      <c r="AB696" s="23">
        <v>0.065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ht="14.25" spans="1:34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0.065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ht="14.25" spans="1:34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51018.56</v>
      </c>
      <c r="T698" s="34"/>
      <c r="U698" s="34">
        <v>51018.56</v>
      </c>
      <c r="V698" s="32">
        <f t="shared" si="72"/>
        <v>0</v>
      </c>
      <c r="W698" s="32">
        <f t="shared" si="70"/>
        <v>49532.5825242718</v>
      </c>
      <c r="X698" s="32"/>
      <c r="Y698" s="32">
        <f t="shared" si="71"/>
        <v>49532.5825242718</v>
      </c>
      <c r="Z698" s="32">
        <f t="shared" si="69"/>
        <v>1485.97747572816</v>
      </c>
      <c r="AA698" s="34">
        <v>0</v>
      </c>
      <c r="AB698" s="24">
        <v>0.07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ht="14.25" spans="1:34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69689.26</v>
      </c>
      <c r="AB699" s="24">
        <v>0.07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ht="14.25" spans="1:34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0.07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ht="14.25" spans="1:34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ht="14.25" spans="1:34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ht="14.25" spans="1:34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0.065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ht="14.25" spans="1:34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</v>
      </c>
      <c r="T704" s="31">
        <v>31000</v>
      </c>
      <c r="U704" s="32">
        <v>18978.7</v>
      </c>
      <c r="V704" s="32">
        <f t="shared" si="72"/>
        <v>32912.29</v>
      </c>
      <c r="W704" s="32">
        <f t="shared" si="70"/>
        <v>18606.568627451</v>
      </c>
      <c r="X704" s="32"/>
      <c r="Y704" s="32">
        <f t="shared" si="71"/>
        <v>18606.568627451</v>
      </c>
      <c r="Z704" s="32">
        <f t="shared" si="69"/>
        <v>372.131372549022</v>
      </c>
      <c r="AA704" s="31">
        <v>18978.7</v>
      </c>
      <c r="AB704" s="23">
        <v>0.053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ht="14.25" spans="1:34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95672.2254901961</v>
      </c>
      <c r="X705" s="32"/>
      <c r="Y705" s="32">
        <f t="shared" si="71"/>
        <v>95672.2254901961</v>
      </c>
      <c r="Z705" s="32">
        <f t="shared" si="69"/>
        <v>1913.44450980393</v>
      </c>
      <c r="AA705" s="31">
        <v>97585.67</v>
      </c>
      <c r="AB705" s="23">
        <v>0.053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ht="14.25" spans="1:34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0.07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ht="14.25" spans="1:34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31441.4951456314</v>
      </c>
      <c r="X707" s="32"/>
      <c r="Y707" s="32">
        <f t="shared" si="71"/>
        <v>31441.4951456314</v>
      </c>
      <c r="Z707" s="32">
        <f t="shared" si="69"/>
        <v>943.244854368942</v>
      </c>
      <c r="AA707" s="34">
        <v>0</v>
      </c>
      <c r="AB707" s="24">
        <v>0.07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ht="14.25" spans="1:34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0.07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ht="14.25" spans="1:34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34349.88</v>
      </c>
      <c r="V709" s="32">
        <f t="shared" si="72"/>
        <v>20233.22</v>
      </c>
      <c r="W709" s="32">
        <f t="shared" si="70"/>
        <v>32714.1714285714</v>
      </c>
      <c r="X709" s="32"/>
      <c r="Y709" s="32">
        <f t="shared" si="71"/>
        <v>32714.1714285714</v>
      </c>
      <c r="Z709" s="32">
        <f t="shared" ref="Z709:Z772" si="73">U709-W709</f>
        <v>1635.70857142857</v>
      </c>
      <c r="AA709" s="31">
        <v>34349.88</v>
      </c>
      <c r="AB709" s="23">
        <v>0.053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ht="14.25" spans="1:34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ht="14.25" spans="1:34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0.053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ht="14.25" spans="1:34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172922.669902913</v>
      </c>
      <c r="X712" s="32"/>
      <c r="Y712" s="32">
        <f t="shared" si="71"/>
        <v>172922.669902913</v>
      </c>
      <c r="Z712" s="32">
        <f t="shared" si="73"/>
        <v>5187.68009708737</v>
      </c>
      <c r="AA712" s="31">
        <v>61561.6353864694</v>
      </c>
      <c r="AB712" s="23">
        <v>0.065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ht="14.25" spans="1:34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0.065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ht="14.25" spans="1:34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ht="14.25" spans="1:34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</v>
      </c>
      <c r="T715" s="34">
        <v>-1572.92</v>
      </c>
      <c r="U715" s="32">
        <v>78654.93</v>
      </c>
      <c r="V715" s="32">
        <v>0</v>
      </c>
      <c r="W715" s="32">
        <f t="shared" si="70"/>
        <v>77112.6764705882</v>
      </c>
      <c r="X715" s="32"/>
      <c r="Y715" s="32">
        <f t="shared" si="71"/>
        <v>77112.6764705882</v>
      </c>
      <c r="Z715" s="32">
        <f t="shared" si="73"/>
        <v>1542.25352941177</v>
      </c>
      <c r="AA715" s="34">
        <v>81835.6487305498</v>
      </c>
      <c r="AB715" s="24">
        <v>0.065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ht="14.25" spans="1:34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0.065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ht="14.25" spans="1:34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0.065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ht="14.25" spans="1:34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-4564.69</v>
      </c>
      <c r="T718" s="31"/>
      <c r="U718" s="32">
        <v>0</v>
      </c>
      <c r="V718" s="32">
        <f t="shared" si="74"/>
        <v>-4564.69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ht="14.25" spans="1:34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ht="14.25" spans="1:34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</v>
      </c>
      <c r="T720" s="31"/>
      <c r="U720" s="32">
        <v>0</v>
      </c>
      <c r="V720" s="32">
        <f t="shared" si="74"/>
        <v>9703.2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0.065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ht="14.25" spans="1:34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</v>
      </c>
      <c r="T721" s="31"/>
      <c r="U721" s="32">
        <v>0</v>
      </c>
      <c r="V721" s="32">
        <f t="shared" si="74"/>
        <v>8223.7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0.065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ht="14.25" spans="1:34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0.065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ht="14.25" spans="1:34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</v>
      </c>
      <c r="T723" s="31">
        <v>196.56</v>
      </c>
      <c r="U723" s="32">
        <v>33652.5</v>
      </c>
      <c r="V723" s="32">
        <f t="shared" si="74"/>
        <v>106716.26</v>
      </c>
      <c r="W723" s="32">
        <f t="shared" si="75"/>
        <v>32992.6470588235</v>
      </c>
      <c r="X723" s="32"/>
      <c r="Y723" s="32">
        <f t="shared" si="71"/>
        <v>32992.6470588235</v>
      </c>
      <c r="Z723" s="32">
        <f t="shared" si="73"/>
        <v>659.852941176468</v>
      </c>
      <c r="AA723" s="31">
        <v>11631.5696131256</v>
      </c>
      <c r="AB723" s="23">
        <v>0.065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ht="14.25" spans="1:34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</v>
      </c>
      <c r="T724" s="31"/>
      <c r="U724" s="32">
        <v>5381.31</v>
      </c>
      <c r="V724" s="32">
        <f t="shared" si="74"/>
        <v>6.00266503170133e-11</v>
      </c>
      <c r="W724" s="32">
        <f t="shared" si="75"/>
        <v>5076.70754716981</v>
      </c>
      <c r="X724" s="32"/>
      <c r="Y724" s="32">
        <f t="shared" si="71"/>
        <v>5076.70754716981</v>
      </c>
      <c r="Z724" s="32">
        <f t="shared" si="73"/>
        <v>304.602452830189</v>
      </c>
      <c r="AA724" s="31">
        <v>5381.31</v>
      </c>
      <c r="AB724" s="23">
        <v>0.07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ht="14.25" spans="1:34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ht="14.25" spans="1:34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0.07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0.053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ht="14.25" spans="1:34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</v>
      </c>
      <c r="X727" s="32"/>
      <c r="Y727" s="32">
        <f t="shared" si="71"/>
        <v>280424.163461538</v>
      </c>
      <c r="Z727" s="32">
        <f t="shared" si="73"/>
        <v>11216.9665384616</v>
      </c>
      <c r="AA727" s="34">
        <v>0</v>
      </c>
      <c r="AB727" s="24">
        <v>0.07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ht="14.25" spans="1:34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0.07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ht="14.25" spans="1:34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0.065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ht="14.25" spans="1:34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ht="14.25" spans="1:34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ht="14.25" spans="1:34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ht="14.25" spans="1:34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0.065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ht="14.25" spans="1:34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-386.170000000013</v>
      </c>
      <c r="T734" s="31"/>
      <c r="U734" s="32">
        <v>0</v>
      </c>
      <c r="V734" s="32">
        <f t="shared" si="76"/>
        <v>-386.170000000013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ht="14.25" spans="1:34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ht="14.25" spans="1:34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16934.320754717</v>
      </c>
      <c r="X736" s="32"/>
      <c r="Y736" s="32">
        <f t="shared" si="71"/>
        <v>16934.320754717</v>
      </c>
      <c r="Z736" s="32">
        <f t="shared" si="73"/>
        <v>1016.05924528302</v>
      </c>
      <c r="AA736" s="31">
        <v>32954.3</v>
      </c>
      <c r="AB736" s="23">
        <v>0.165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ht="14.25" spans="1:34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ht="14.25" spans="1:34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</v>
      </c>
      <c r="X738" s="32"/>
      <c r="Y738" s="32">
        <f t="shared" si="71"/>
        <v>943.396226415094</v>
      </c>
      <c r="Z738" s="32">
        <f t="shared" si="73"/>
        <v>56.6037735849058</v>
      </c>
      <c r="AA738" s="31">
        <v>0</v>
      </c>
      <c r="AB738" s="23">
        <v>0.165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ht="14.25" spans="1:34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</v>
      </c>
      <c r="X739" s="32"/>
      <c r="Y739" s="32">
        <f t="shared" si="71"/>
        <v>820.905660377358</v>
      </c>
      <c r="Z739" s="32">
        <f t="shared" si="73"/>
        <v>49.2543396226415</v>
      </c>
      <c r="AA739" s="31">
        <v>2743.1</v>
      </c>
      <c r="AB739" s="23">
        <v>0.165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ht="14.25" spans="1:34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ht="14.25" spans="1:34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6127.06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ht="14.25" spans="1:34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</v>
      </c>
      <c r="T742" s="34">
        <v>-553</v>
      </c>
      <c r="U742" s="32">
        <v>12211.9</v>
      </c>
      <c r="V742" s="32">
        <f t="shared" si="77"/>
        <v>6221.3800000001</v>
      </c>
      <c r="W742" s="32">
        <f t="shared" si="75"/>
        <v>11856.213592233</v>
      </c>
      <c r="X742" s="32"/>
      <c r="Y742" s="32">
        <f t="shared" si="71"/>
        <v>11856.213592233</v>
      </c>
      <c r="Z742" s="32">
        <f t="shared" si="73"/>
        <v>355.686407766991</v>
      </c>
      <c r="AA742" s="34">
        <v>12211.9</v>
      </c>
      <c r="AB742" s="24">
        <v>0.07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ht="14.25" spans="1:34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0.07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ht="14.25" spans="1:34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25427.12</v>
      </c>
      <c r="T744" s="31">
        <v>-25427.12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ht="14.25" spans="1:34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</v>
      </c>
      <c r="X745" s="32"/>
      <c r="Y745" s="32">
        <f t="shared" si="71"/>
        <v>1.9047619047619</v>
      </c>
      <c r="Z745" s="32">
        <f t="shared" si="73"/>
        <v>0.0952380952380953</v>
      </c>
      <c r="AA745" s="31">
        <v>2</v>
      </c>
      <c r="AB745" s="23">
        <v>0.053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ht="14.25" spans="1:34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0.065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ht="14.25" spans="1:34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</v>
      </c>
      <c r="T747" s="31">
        <v>-17.1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ht="14.25" spans="1:34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ht="14.25" spans="1:34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0.053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ht="14.25" spans="1:34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0.065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ht="14.25" spans="1:34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7488.12000000001</v>
      </c>
      <c r="T751" s="31">
        <v>-7488.12</v>
      </c>
      <c r="U751" s="32">
        <v>0</v>
      </c>
      <c r="V751" s="32">
        <f t="shared" si="77"/>
        <v>1.00044417195022e-11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0.07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ht="14.25" spans="1:34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</v>
      </c>
      <c r="T752" s="34"/>
      <c r="U752" s="32">
        <v>16699.65</v>
      </c>
      <c r="V752" s="32">
        <f t="shared" si="77"/>
        <v>0</v>
      </c>
      <c r="W752" s="32">
        <f t="shared" si="75"/>
        <v>15904.4285714286</v>
      </c>
      <c r="X752" s="32"/>
      <c r="Y752" s="32">
        <f t="shared" si="78"/>
        <v>15904.4285714286</v>
      </c>
      <c r="Z752" s="32">
        <f t="shared" si="73"/>
        <v>795.221428571429</v>
      </c>
      <c r="AA752" s="34">
        <v>0</v>
      </c>
      <c r="AB752" s="24">
        <v>0.07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ht="14.25" spans="1:34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0.07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ht="14.25" spans="1:34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ht="14.25" spans="1:34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</v>
      </c>
      <c r="X755" s="32"/>
      <c r="Y755" s="32">
        <f t="shared" si="78"/>
        <v>14772.6116504854</v>
      </c>
      <c r="Z755" s="32">
        <f t="shared" si="73"/>
        <v>443.178349514563</v>
      </c>
      <c r="AA755" s="31">
        <v>15215.79</v>
      </c>
      <c r="AB755" s="23">
        <v>0.07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ht="14.25" spans="1:34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0.07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ht="14.25" spans="1:34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</v>
      </c>
      <c r="T757" s="31">
        <v>-33469.66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0.07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ht="14.25" spans="1:34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0.053</v>
      </c>
      <c r="AC758" s="36"/>
      <c r="AD758" s="36"/>
      <c r="AE758" s="31"/>
      <c r="AF758" s="31" t="s">
        <v>53</v>
      </c>
      <c r="AG758" s="23"/>
      <c r="AH758" s="38">
        <v>75</v>
      </c>
    </row>
    <row r="759" ht="14.25" spans="1:34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0.065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ht="14.25" spans="1:34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-18575.35</v>
      </c>
      <c r="W760" s="32">
        <f t="shared" si="75"/>
        <v>8365.38461538462</v>
      </c>
      <c r="X760" s="32"/>
      <c r="Y760" s="32">
        <f t="shared" si="80"/>
        <v>8365.38461538462</v>
      </c>
      <c r="Z760" s="32">
        <f t="shared" si="73"/>
        <v>334.615384615385</v>
      </c>
      <c r="AA760" s="34">
        <v>8700</v>
      </c>
      <c r="AB760" s="24">
        <v>0.133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ht="14.25" spans="1:34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0.053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ht="14.25" spans="1:34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</v>
      </c>
      <c r="W762" s="32">
        <f t="shared" si="75"/>
        <v>3494395.36633663</v>
      </c>
      <c r="X762" s="32"/>
      <c r="Y762" s="32">
        <f t="shared" si="80"/>
        <v>3494395.36633663</v>
      </c>
      <c r="Z762" s="32">
        <f t="shared" si="73"/>
        <v>34943.9536633664</v>
      </c>
      <c r="AA762" s="34">
        <v>3529339.32</v>
      </c>
      <c r="AB762" s="24">
        <v>0.07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ht="14.25" spans="1:34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-27140.58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0.07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ht="14.25" spans="1:34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0.053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ht="14.25" spans="1:34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ht="14.25" spans="1:34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0.199999999989814</v>
      </c>
      <c r="T766" s="31"/>
      <c r="U766" s="32">
        <v>0</v>
      </c>
      <c r="V766" s="32">
        <f t="shared" si="79"/>
        <v>0.199999999989814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ht="14.25" spans="1:34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419476.008</v>
      </c>
      <c r="T767" s="31">
        <v>110000.004</v>
      </c>
      <c r="U767" s="32">
        <v>529357.3</v>
      </c>
      <c r="V767" s="32">
        <f t="shared" si="79"/>
        <v>118.711999999941</v>
      </c>
      <c r="W767" s="32">
        <f t="shared" si="75"/>
        <v>481233.909090909</v>
      </c>
      <c r="X767" s="32"/>
      <c r="Y767" s="32"/>
      <c r="Z767" s="32">
        <f t="shared" si="73"/>
        <v>48123.3909090909</v>
      </c>
      <c r="AA767" s="31">
        <v>419048.605013896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ht="14.25" spans="1:34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-1.08000000000175</v>
      </c>
      <c r="W768" s="32">
        <f t="shared" si="75"/>
        <v>65868.1272727273</v>
      </c>
      <c r="X768" s="32"/>
      <c r="Y768" s="32"/>
      <c r="Z768" s="32">
        <f t="shared" si="73"/>
        <v>6586.81272727273</v>
      </c>
      <c r="AA768" s="31">
        <v>57356.6125060814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ht="14.25" spans="1:34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</v>
      </c>
      <c r="T769" s="31"/>
      <c r="U769" s="32">
        <v>0</v>
      </c>
      <c r="V769" s="32">
        <f t="shared" si="79"/>
        <v>0.1850000000004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ht="14.25" spans="1:34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</v>
      </c>
      <c r="X770" s="32"/>
      <c r="Y770" s="32">
        <f t="shared" ref="Y770:Y833" si="81">W770+X770</f>
        <v>736270.316831683</v>
      </c>
      <c r="Z770" s="32">
        <f t="shared" si="73"/>
        <v>7362.70316831686</v>
      </c>
      <c r="AA770" s="34">
        <v>785022.45</v>
      </c>
      <c r="AB770" s="24">
        <v>0.07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ht="14.25" spans="1:34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</v>
      </c>
      <c r="T771" s="34">
        <v>-290288.35</v>
      </c>
      <c r="U771" s="32">
        <v>41389.4300000001</v>
      </c>
      <c r="V771" s="32">
        <f t="shared" si="79"/>
        <v>0</v>
      </c>
      <c r="W771" s="32">
        <f t="shared" si="75"/>
        <v>40183.9126213593</v>
      </c>
      <c r="X771" s="32"/>
      <c r="Y771" s="32">
        <f t="shared" si="81"/>
        <v>40183.9126213593</v>
      </c>
      <c r="Z771" s="32">
        <f t="shared" si="73"/>
        <v>1205.51737864078</v>
      </c>
      <c r="AA771" s="34">
        <v>0</v>
      </c>
      <c r="AB771" s="24">
        <v>0.07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ht="14.25" spans="1:34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0.065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ht="14.25" spans="1:34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0.053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ht="14.25" spans="1:34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0.0199999999999818</v>
      </c>
      <c r="T774" s="31"/>
      <c r="U774" s="32">
        <v>0</v>
      </c>
      <c r="V774" s="32">
        <f t="shared" si="79"/>
        <v>0.0199999999999818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ht="14.25" spans="1:34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0.07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ht="14.25" spans="1:34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0.065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ht="14.25" spans="1:34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0.07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ht="14.25" spans="1:34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0.07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ht="14.25" spans="1:34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0.07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ht="14.25" spans="1:34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1224503.39</v>
      </c>
      <c r="W780" s="32">
        <f t="shared" si="75"/>
        <v>449964.165048544</v>
      </c>
      <c r="X780" s="32"/>
      <c r="Y780" s="32">
        <f t="shared" si="81"/>
        <v>449964.165048544</v>
      </c>
      <c r="Z780" s="32">
        <f t="shared" si="82"/>
        <v>13498.9249514563</v>
      </c>
      <c r="AA780" s="31">
        <v>463463.09</v>
      </c>
      <c r="AB780" s="23">
        <v>0.07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ht="14.25" spans="1:34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</v>
      </c>
      <c r="X781" s="32"/>
      <c r="Y781" s="32">
        <f t="shared" si="81"/>
        <v>9814.8431372549</v>
      </c>
      <c r="Z781" s="32">
        <f t="shared" si="82"/>
        <v>196.296862745097</v>
      </c>
      <c r="AA781" s="31">
        <v>11220.3403559052</v>
      </c>
      <c r="AB781" s="23">
        <v>0.065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ht="14.25" spans="1:34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21797.6601941748</v>
      </c>
      <c r="X782" s="32"/>
      <c r="Y782" s="32">
        <f t="shared" si="81"/>
        <v>21797.6601941748</v>
      </c>
      <c r="Z782" s="32">
        <f t="shared" si="82"/>
        <v>653.929805825243</v>
      </c>
      <c r="AA782" s="31">
        <v>0</v>
      </c>
      <c r="AB782" s="23">
        <v>0.065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ht="14.25" spans="1:34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ht="14.25" spans="1:34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0.053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ht="14.25" spans="1:34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0.07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ht="14.25" spans="1:34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0.07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ht="14.25" spans="1:34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375734.509615385</v>
      </c>
      <c r="X787" s="32"/>
      <c r="Y787" s="32">
        <f t="shared" si="81"/>
        <v>375734.509615385</v>
      </c>
      <c r="Z787" s="32">
        <f t="shared" si="82"/>
        <v>15029.3803846154</v>
      </c>
      <c r="AA787" s="31">
        <v>289829.221501974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ht="14.25" spans="1:34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92236.8679245283</v>
      </c>
      <c r="X788" s="32"/>
      <c r="Y788" s="32">
        <f t="shared" si="81"/>
        <v>92236.8679245283</v>
      </c>
      <c r="Z788" s="32">
        <f t="shared" si="82"/>
        <v>5534.2120754717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ht="14.25" spans="1:34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ht="14.25" spans="1:34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177844.35</v>
      </c>
      <c r="W790" s="32">
        <f t="shared" si="83"/>
        <v>394270.245098039</v>
      </c>
      <c r="X790" s="32"/>
      <c r="Y790" s="32">
        <f t="shared" si="81"/>
        <v>394270.245098039</v>
      </c>
      <c r="Z790" s="32">
        <f t="shared" si="82"/>
        <v>7885.40490196081</v>
      </c>
      <c r="AA790" s="34">
        <v>501459.74</v>
      </c>
      <c r="AB790" s="24">
        <v>0.07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ht="14.25" spans="1:34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</v>
      </c>
      <c r="X791" s="32"/>
      <c r="Y791" s="32">
        <f t="shared" si="81"/>
        <v>56480.0857142857</v>
      </c>
      <c r="Z791" s="32">
        <f t="shared" si="82"/>
        <v>2824.00428571429</v>
      </c>
      <c r="AA791" s="34">
        <v>0</v>
      </c>
      <c r="AB791" s="24">
        <v>0.07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ht="14.25" spans="1:34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0.07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ht="14.25" spans="1:34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</v>
      </c>
      <c r="V793" s="32">
        <f t="shared" si="79"/>
        <v>15976.6</v>
      </c>
      <c r="W793" s="32">
        <f t="shared" si="83"/>
        <v>34917.44</v>
      </c>
      <c r="X793" s="32"/>
      <c r="Y793" s="32">
        <f t="shared" si="81"/>
        <v>34917.44</v>
      </c>
      <c r="Z793" s="32">
        <f t="shared" si="82"/>
        <v>0</v>
      </c>
      <c r="AA793" s="34">
        <v>34917.44</v>
      </c>
      <c r="AB793" s="24">
        <v>0.07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ht="14.25" spans="1:34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0.07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ht="14.25" spans="1:34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0.07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ht="14.25" spans="1:34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43</v>
      </c>
      <c r="P796" s="24">
        <v>0.05</v>
      </c>
      <c r="Q796" s="33" t="s">
        <v>65</v>
      </c>
      <c r="R796" s="30"/>
      <c r="S796" s="34">
        <v>24442.7499999999</v>
      </c>
      <c r="T796" s="34"/>
      <c r="U796" s="34">
        <v>24442.7499999999</v>
      </c>
      <c r="V796" s="32">
        <f t="shared" si="79"/>
        <v>0</v>
      </c>
      <c r="W796" s="32">
        <f t="shared" si="83"/>
        <v>23278.8095238094</v>
      </c>
      <c r="X796" s="32"/>
      <c r="Y796" s="32">
        <f t="shared" si="81"/>
        <v>23278.8095238094</v>
      </c>
      <c r="Z796" s="32">
        <f t="shared" si="82"/>
        <v>1163.94047619047</v>
      </c>
      <c r="AA796" s="34">
        <v>0</v>
      </c>
      <c r="AB796" s="24">
        <v>0.07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ht="14.25" spans="1:34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53.7900000000991</v>
      </c>
      <c r="V797" s="32">
        <f t="shared" si="79"/>
        <v>19946.2099999999</v>
      </c>
      <c r="W797" s="32">
        <f t="shared" si="83"/>
        <v>53.7900000000991</v>
      </c>
      <c r="X797" s="32"/>
      <c r="Y797" s="32">
        <f t="shared" si="81"/>
        <v>53.7900000000991</v>
      </c>
      <c r="Z797" s="32">
        <f t="shared" si="82"/>
        <v>0</v>
      </c>
      <c r="AA797" s="34">
        <v>24496.54</v>
      </c>
      <c r="AB797" s="24">
        <v>0.07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ht="14.25" spans="1:34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0.07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ht="14.25" spans="1:34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116425.485148515</v>
      </c>
      <c r="X799" s="32"/>
      <c r="Y799" s="32">
        <f t="shared" si="81"/>
        <v>116425.485148515</v>
      </c>
      <c r="Z799" s="32">
        <f t="shared" si="82"/>
        <v>1164.25485148515</v>
      </c>
      <c r="AA799" s="34">
        <v>0</v>
      </c>
      <c r="AB799" s="24">
        <v>0.053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ht="14.25" spans="1:34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</v>
      </c>
      <c r="V800" s="32">
        <f t="shared" si="79"/>
        <v>12936.48</v>
      </c>
      <c r="W800" s="32">
        <f t="shared" si="83"/>
        <v>75552.4705882353</v>
      </c>
      <c r="X800" s="32"/>
      <c r="Y800" s="32">
        <f t="shared" si="81"/>
        <v>75552.4705882353</v>
      </c>
      <c r="Z800" s="32">
        <f t="shared" si="82"/>
        <v>1511.0494117647</v>
      </c>
      <c r="AA800" s="34">
        <v>194653.26</v>
      </c>
      <c r="AB800" s="24">
        <v>0.053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ht="14.25" spans="1:34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136109.02</v>
      </c>
      <c r="V801" s="32">
        <f t="shared" si="79"/>
        <v>0</v>
      </c>
      <c r="W801" s="32">
        <f t="shared" si="83"/>
        <v>132144.67961165</v>
      </c>
      <c r="X801" s="32"/>
      <c r="Y801" s="32">
        <f t="shared" si="81"/>
        <v>132144.67961165</v>
      </c>
      <c r="Z801" s="32">
        <f t="shared" si="82"/>
        <v>3964.34038834952</v>
      </c>
      <c r="AA801" s="34">
        <v>231611.26</v>
      </c>
      <c r="AB801" s="24">
        <v>0.07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ht="14.25" spans="1:34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0.07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ht="14.25" spans="1:34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2352793.91</v>
      </c>
      <c r="V803" s="32">
        <f t="shared" si="79"/>
        <v>1647206.09</v>
      </c>
      <c r="W803" s="32">
        <f t="shared" si="83"/>
        <v>2352793.91</v>
      </c>
      <c r="X803" s="32"/>
      <c r="Y803" s="32">
        <f t="shared" si="81"/>
        <v>2352793.91</v>
      </c>
      <c r="Z803" s="32">
        <f t="shared" si="82"/>
        <v>0</v>
      </c>
      <c r="AA803" s="34">
        <v>0</v>
      </c>
      <c r="AB803" s="24">
        <v>0.07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ht="14.25" spans="1:34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0.07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ht="14.25" spans="1:34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</v>
      </c>
      <c r="V805" s="32">
        <f t="shared" si="79"/>
        <v>9258.76</v>
      </c>
      <c r="W805" s="32">
        <f t="shared" si="83"/>
        <v>20741.24</v>
      </c>
      <c r="X805" s="32"/>
      <c r="Y805" s="32">
        <f t="shared" si="81"/>
        <v>20741.24</v>
      </c>
      <c r="Z805" s="32">
        <f t="shared" si="82"/>
        <v>0</v>
      </c>
      <c r="AA805" s="34">
        <v>41000</v>
      </c>
      <c r="AB805" s="24">
        <v>0.07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ht="14.25" spans="1:34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20258.76</v>
      </c>
      <c r="V806" s="32">
        <f t="shared" si="79"/>
        <v>0</v>
      </c>
      <c r="W806" s="32">
        <f t="shared" si="83"/>
        <v>20258.76</v>
      </c>
      <c r="X806" s="32"/>
      <c r="Y806" s="32">
        <f t="shared" si="81"/>
        <v>20258.76</v>
      </c>
      <c r="Z806" s="32">
        <f t="shared" si="82"/>
        <v>0</v>
      </c>
      <c r="AA806" s="34">
        <v>0</v>
      </c>
      <c r="AB806" s="24">
        <v>0.07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ht="14.25" spans="1:34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</v>
      </c>
      <c r="X807" s="32"/>
      <c r="Y807" s="32">
        <f t="shared" si="81"/>
        <v>90079.7281553398</v>
      </c>
      <c r="Z807" s="32">
        <f t="shared" si="82"/>
        <v>2702.39184466019</v>
      </c>
      <c r="AA807" s="31">
        <v>92782.12</v>
      </c>
      <c r="AB807" s="23">
        <v>0.07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ht="14.25" spans="1:34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26674.0582524272</v>
      </c>
      <c r="X808" s="32"/>
      <c r="Y808" s="32">
        <f t="shared" si="81"/>
        <v>26674.0582524272</v>
      </c>
      <c r="Z808" s="32">
        <f t="shared" si="82"/>
        <v>800.221747572818</v>
      </c>
      <c r="AA808" s="31">
        <v>27474.28</v>
      </c>
      <c r="AB808" s="23">
        <v>0.07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ht="14.25" spans="1:34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-92212.96</v>
      </c>
      <c r="T809" s="31"/>
      <c r="U809" s="32">
        <v>20467.41</v>
      </c>
      <c r="V809" s="32">
        <f t="shared" si="79"/>
        <v>-112680.37</v>
      </c>
      <c r="W809" s="32">
        <f t="shared" si="83"/>
        <v>19492.7714285714</v>
      </c>
      <c r="X809" s="32"/>
      <c r="Y809" s="32">
        <f t="shared" si="81"/>
        <v>19492.7714285714</v>
      </c>
      <c r="Z809" s="32">
        <f t="shared" si="82"/>
        <v>974.638571428572</v>
      </c>
      <c r="AA809" s="31">
        <v>20467.41</v>
      </c>
      <c r="AB809" s="23">
        <v>0.07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ht="14.25" spans="1:34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187145.71</v>
      </c>
      <c r="T810" s="31">
        <v>1327573.29</v>
      </c>
      <c r="U810" s="32">
        <v>1135906.11</v>
      </c>
      <c r="V810" s="32">
        <f t="shared" si="79"/>
        <v>378812.89</v>
      </c>
      <c r="W810" s="32">
        <f t="shared" si="83"/>
        <v>1135906.11</v>
      </c>
      <c r="X810" s="32"/>
      <c r="Y810" s="32">
        <f t="shared" si="81"/>
        <v>1135906.11</v>
      </c>
      <c r="Z810" s="32">
        <f t="shared" si="82"/>
        <v>0</v>
      </c>
      <c r="AA810" s="31">
        <v>1135906.11</v>
      </c>
      <c r="AB810" s="23">
        <v>0.07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ht="14.25" spans="1:34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659876.43</v>
      </c>
      <c r="T811" s="34">
        <v>-19285.59</v>
      </c>
      <c r="U811" s="32">
        <v>414205.13</v>
      </c>
      <c r="V811" s="32">
        <f t="shared" si="79"/>
        <v>226385.71</v>
      </c>
      <c r="W811" s="32">
        <f t="shared" si="83"/>
        <v>394481.076190476</v>
      </c>
      <c r="X811" s="32"/>
      <c r="Y811" s="32">
        <f t="shared" si="81"/>
        <v>394481.076190476</v>
      </c>
      <c r="Z811" s="32">
        <f t="shared" si="82"/>
        <v>19724.0538095238</v>
      </c>
      <c r="AA811" s="34">
        <v>414205.13</v>
      </c>
      <c r="AB811" s="24">
        <v>0.07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ht="14.25" spans="1:34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0.07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ht="14.25" spans="1:34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170000</v>
      </c>
      <c r="U813" s="32">
        <v>0</v>
      </c>
      <c r="V813" s="32">
        <f t="shared" si="79"/>
        <v>170000</v>
      </c>
      <c r="W813" s="32">
        <f t="shared" si="83"/>
        <v>0</v>
      </c>
      <c r="X813" s="32"/>
      <c r="Y813" s="32">
        <f t="shared" si="81"/>
        <v>0</v>
      </c>
      <c r="Z813" s="32">
        <f t="shared" si="82"/>
        <v>0</v>
      </c>
      <c r="AA813" s="34">
        <v>0</v>
      </c>
      <c r="AB813" s="24">
        <v>0.07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ht="14.25" spans="1:34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1602255.55</v>
      </c>
      <c r="T814" s="34">
        <v>0</v>
      </c>
      <c r="U814" s="34">
        <v>1602255.55</v>
      </c>
      <c r="V814" s="32">
        <f t="shared" si="79"/>
        <v>0</v>
      </c>
      <c r="W814" s="32">
        <f t="shared" si="83"/>
        <v>1602255.55</v>
      </c>
      <c r="X814" s="32"/>
      <c r="Y814" s="32">
        <f t="shared" si="81"/>
        <v>1602255.55</v>
      </c>
      <c r="Z814" s="32">
        <f t="shared" si="82"/>
        <v>0</v>
      </c>
      <c r="AA814" s="34">
        <v>3955049.46</v>
      </c>
      <c r="AB814" s="24">
        <v>0.07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ht="14.25" spans="1:34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>
        <v>383910.48</v>
      </c>
      <c r="T815" s="34">
        <v>170000</v>
      </c>
      <c r="U815" s="34">
        <v>553910.48</v>
      </c>
      <c r="V815" s="32">
        <f t="shared" si="79"/>
        <v>0</v>
      </c>
      <c r="W815" s="32">
        <f t="shared" si="83"/>
        <v>537777.165048544</v>
      </c>
      <c r="X815" s="32"/>
      <c r="Y815" s="32">
        <f t="shared" si="81"/>
        <v>537777.165048544</v>
      </c>
      <c r="Z815" s="32">
        <f t="shared" si="82"/>
        <v>16133.3149514563</v>
      </c>
      <c r="AA815" s="34">
        <v>0</v>
      </c>
      <c r="AB815" s="24">
        <v>0.07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ht="14.25" spans="1:34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1000000</v>
      </c>
      <c r="T816" s="34">
        <v>4800000</v>
      </c>
      <c r="U816" s="34">
        <v>3288865.02</v>
      </c>
      <c r="V816" s="32">
        <f t="shared" si="79"/>
        <v>2511134.98</v>
      </c>
      <c r="W816" s="32">
        <f t="shared" si="83"/>
        <v>3288865.02</v>
      </c>
      <c r="X816" s="32"/>
      <c r="Y816" s="32">
        <f t="shared" si="81"/>
        <v>3288865.02</v>
      </c>
      <c r="Z816" s="32">
        <f t="shared" si="82"/>
        <v>0</v>
      </c>
      <c r="AA816" s="34">
        <v>3842775.5</v>
      </c>
      <c r="AB816" s="24">
        <v>0.07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ht="14.25" spans="1:34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ht="14.25" spans="1:34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12757.7647058824</v>
      </c>
      <c r="X818" s="32"/>
      <c r="Y818" s="32">
        <f t="shared" si="81"/>
        <v>12757.7647058824</v>
      </c>
      <c r="Z818" s="32">
        <f t="shared" si="82"/>
        <v>255.155294117647</v>
      </c>
      <c r="AA818" s="34">
        <v>0</v>
      </c>
      <c r="AB818" s="24">
        <v>0.053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ht="14.25" spans="1:34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</v>
      </c>
      <c r="AB819" s="24">
        <v>0.053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ht="14.25" spans="1:34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3051.14999999999</v>
      </c>
      <c r="T820" s="31"/>
      <c r="U820" s="32">
        <v>0</v>
      </c>
      <c r="V820" s="32">
        <f t="shared" si="84"/>
        <v>3051.14999999999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0.07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ht="14.25" spans="1:34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0.053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ht="14.25" spans="1:34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1146913.65</v>
      </c>
      <c r="T822" s="31">
        <v>-127543.15</v>
      </c>
      <c r="U822" s="32">
        <v>55735.54</v>
      </c>
      <c r="V822" s="32">
        <f t="shared" si="84"/>
        <v>963634.96</v>
      </c>
      <c r="W822" s="32">
        <f t="shared" si="83"/>
        <v>53081.4666666667</v>
      </c>
      <c r="X822" s="32"/>
      <c r="Y822" s="32">
        <f t="shared" si="81"/>
        <v>53081.4666666667</v>
      </c>
      <c r="Z822" s="32">
        <f t="shared" si="82"/>
        <v>2654.07333333333</v>
      </c>
      <c r="AA822" s="31">
        <v>55735.54</v>
      </c>
      <c r="AB822" s="23">
        <v>0.07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ht="14.25" spans="1:34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-525090.85</v>
      </c>
      <c r="T823" s="31">
        <v>-56709.82</v>
      </c>
      <c r="U823" s="32">
        <v>0</v>
      </c>
      <c r="V823" s="32">
        <f t="shared" si="84"/>
        <v>-581800.67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0.07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ht="14.25" spans="1:34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0.0399999999990541</v>
      </c>
      <c r="T824" s="31"/>
      <c r="U824" s="32">
        <v>0</v>
      </c>
      <c r="V824" s="32">
        <f t="shared" si="84"/>
        <v>0.0399999999990541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ht="14.25" spans="1:34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0.053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ht="14.25" spans="1:34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0.053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ht="14.25" spans="1:34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ht="14.25" spans="1:34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389903.836538462</v>
      </c>
      <c r="X828" s="32"/>
      <c r="Y828" s="32">
        <f t="shared" si="81"/>
        <v>389903.836538462</v>
      </c>
      <c r="Z828" s="32">
        <f t="shared" si="82"/>
        <v>15596.1534615385</v>
      </c>
      <c r="AA828" s="34">
        <v>947098.11</v>
      </c>
      <c r="AB828" s="24">
        <v>0.053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ht="14.25" spans="1:34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0.055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</v>
      </c>
      <c r="X829" s="32"/>
      <c r="Y829" s="32">
        <f t="shared" si="81"/>
        <v>513363.146919431</v>
      </c>
      <c r="Z829" s="32">
        <f t="shared" si="82"/>
        <v>28234.9730805687</v>
      </c>
      <c r="AA829" s="34">
        <v>0</v>
      </c>
      <c r="AB829" s="24">
        <v>0.053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ht="14.25" spans="1:34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0.07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ht="14.25" spans="1:34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43</v>
      </c>
      <c r="P831" s="24">
        <v>0.03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87928.9126213592</v>
      </c>
      <c r="X831" s="32"/>
      <c r="Y831" s="32">
        <f t="shared" si="81"/>
        <v>87928.9126213592</v>
      </c>
      <c r="Z831" s="32">
        <f t="shared" si="82"/>
        <v>2637.86737864077</v>
      </c>
      <c r="AA831" s="34">
        <v>0</v>
      </c>
      <c r="AB831" s="24">
        <v>0.07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ht="14.25" spans="1:34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0.07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ht="14.25" spans="1:34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53344.76</v>
      </c>
      <c r="W833" s="32">
        <f t="shared" si="83"/>
        <v>97183.4059405941</v>
      </c>
      <c r="X833" s="32"/>
      <c r="Y833" s="32">
        <f t="shared" si="81"/>
        <v>97183.4059405941</v>
      </c>
      <c r="Z833" s="32">
        <f t="shared" si="82"/>
        <v>971.834059405941</v>
      </c>
      <c r="AA833" s="31">
        <v>98155.24</v>
      </c>
      <c r="AB833" s="23">
        <v>0.053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ht="14.25" spans="1:34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9999.996</v>
      </c>
      <c r="U834" s="32">
        <v>2945.45</v>
      </c>
      <c r="V834" s="32">
        <f t="shared" si="84"/>
        <v>7054.546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2331.67033615703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ht="14.25" spans="1:34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</v>
      </c>
      <c r="X835" s="32"/>
      <c r="Y835" s="32">
        <f t="shared" si="85"/>
        <v>62370.9238095238</v>
      </c>
      <c r="Z835" s="32">
        <f t="shared" si="82"/>
        <v>3118.54619047619</v>
      </c>
      <c r="AA835" s="31">
        <v>65489.47</v>
      </c>
      <c r="AB835" s="23">
        <v>0.07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ht="14.25" spans="1:34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</v>
      </c>
      <c r="X836" s="32"/>
      <c r="Y836" s="32">
        <f t="shared" si="85"/>
        <v>1604.7619047619</v>
      </c>
      <c r="Z836" s="32">
        <f t="shared" si="82"/>
        <v>80.2380952380954</v>
      </c>
      <c r="AA836" s="31">
        <v>269728</v>
      </c>
      <c r="AB836" s="23">
        <v>0.165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ht="14.25" spans="1:34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ht="14.25" spans="1:34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ht="14.25" spans="1:34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</v>
      </c>
      <c r="V839" s="32">
        <f t="shared" si="87"/>
        <v>60410.11</v>
      </c>
      <c r="W839" s="32">
        <f t="shared" si="83"/>
        <v>139589.89</v>
      </c>
      <c r="X839" s="32"/>
      <c r="Y839" s="32">
        <f t="shared" si="85"/>
        <v>139589.89</v>
      </c>
      <c r="Z839" s="32">
        <f t="shared" si="86"/>
        <v>0</v>
      </c>
      <c r="AA839" s="31">
        <v>139589.89</v>
      </c>
      <c r="AB839" s="23">
        <v>0.165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ht="14.25" spans="1:34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ht="14.25" spans="1:34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</v>
      </c>
      <c r="U841" s="32">
        <v>70979.8</v>
      </c>
      <c r="V841" s="32">
        <f t="shared" si="87"/>
        <v>33939.3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ht="14.25" spans="1:34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ht="14.25" spans="1:34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38768.85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ht="14.25" spans="1:34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0.065</v>
      </c>
      <c r="AC844" s="36"/>
      <c r="AD844" s="36"/>
      <c r="AE844" s="31"/>
      <c r="AF844" s="31"/>
      <c r="AG844" s="23"/>
      <c r="AH844" s="38" t="e">
        <v>#N/A</v>
      </c>
    </row>
    <row r="845" ht="14.25" spans="1:34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</v>
      </c>
      <c r="X845" s="32"/>
      <c r="Y845" s="32">
        <f t="shared" si="85"/>
        <v>91201.7714285714</v>
      </c>
      <c r="Z845" s="32">
        <f t="shared" si="86"/>
        <v>4560.08857142857</v>
      </c>
      <c r="AA845" s="34">
        <v>95761.86</v>
      </c>
      <c r="AB845" s="24">
        <v>0.133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ht="14.25" spans="1:34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</v>
      </c>
      <c r="X846" s="32"/>
      <c r="Y846" s="32">
        <f t="shared" si="85"/>
        <v>507698.039215686</v>
      </c>
      <c r="Z846" s="32">
        <f t="shared" si="86"/>
        <v>10153.9607843137</v>
      </c>
      <c r="AA846" s="34">
        <v>517852</v>
      </c>
      <c r="AB846" s="24">
        <v>0.053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ht="14.25" spans="1:34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0.07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ht="14.25" spans="1:34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</v>
      </c>
      <c r="X848" s="32"/>
      <c r="Y848" s="32">
        <f t="shared" si="85"/>
        <v>188671.40776699</v>
      </c>
      <c r="Z848" s="32">
        <f t="shared" si="86"/>
        <v>5660.14223300971</v>
      </c>
      <c r="AA848" s="34">
        <v>722653.8</v>
      </c>
      <c r="AB848" s="24">
        <v>0.07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ht="14.25" spans="1:34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0.07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ht="14.25" spans="1:34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</v>
      </c>
      <c r="X850" s="32"/>
      <c r="Y850" s="32">
        <f t="shared" si="85"/>
        <v>65053.0784313725</v>
      </c>
      <c r="Z850" s="32">
        <f t="shared" si="86"/>
        <v>1301.06156862745</v>
      </c>
      <c r="AA850" s="31">
        <v>28766.9999168327</v>
      </c>
      <c r="AB850" s="23">
        <v>0.065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ht="14.25" spans="1:34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</v>
      </c>
      <c r="T851" s="31"/>
      <c r="U851" s="31">
        <v>16874.65</v>
      </c>
      <c r="V851" s="32">
        <f t="shared" si="87"/>
        <v>0</v>
      </c>
      <c r="W851" s="32">
        <f t="shared" si="88"/>
        <v>16383.1553398058</v>
      </c>
      <c r="X851" s="32"/>
      <c r="Y851" s="32">
        <f t="shared" si="85"/>
        <v>16383.1553398058</v>
      </c>
      <c r="Z851" s="32">
        <f t="shared" si="86"/>
        <v>491.494660194176</v>
      </c>
      <c r="AA851" s="31">
        <v>0</v>
      </c>
      <c r="AB851" s="23">
        <v>0.065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ht="14.25" spans="1:34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ht="14.25" spans="1:34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0.07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ht="14.25" spans="1:34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0.07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ht="14.25" spans="1:34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0.07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ht="14.25" spans="1:34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207192.870000001</v>
      </c>
      <c r="T856" s="31">
        <v>-207229.46</v>
      </c>
      <c r="U856" s="32">
        <v>0</v>
      </c>
      <c r="V856" s="32">
        <f t="shared" si="87"/>
        <v>-36.5899999989779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0.065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ht="14.25" spans="1:34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0.0199999999895226</v>
      </c>
      <c r="T857" s="31"/>
      <c r="U857" s="32">
        <v>0</v>
      </c>
      <c r="V857" s="32">
        <f t="shared" si="87"/>
        <v>0.0199999999895226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ht="14.25" spans="1:34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0.065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ht="14.25" spans="1:34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0.065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ht="14.25" spans="1:34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</v>
      </c>
      <c r="X860" s="32"/>
      <c r="Y860" s="32">
        <f t="shared" si="85"/>
        <v>2648.97058823529</v>
      </c>
      <c r="Z860" s="32">
        <f t="shared" si="86"/>
        <v>52.9794117647061</v>
      </c>
      <c r="AA860" s="34">
        <v>0</v>
      </c>
      <c r="AB860" s="24">
        <v>0.053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ht="14.25" spans="1:34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0.053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ht="14.25" spans="1:34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</v>
      </c>
      <c r="T862" s="34"/>
      <c r="U862" s="34">
        <v>2207.51</v>
      </c>
      <c r="V862" s="32">
        <f t="shared" si="87"/>
        <v>0</v>
      </c>
      <c r="W862" s="32">
        <f t="shared" si="88"/>
        <v>2164.22549019608</v>
      </c>
      <c r="X862" s="32"/>
      <c r="Y862" s="32">
        <f t="shared" si="85"/>
        <v>2164.22549019608</v>
      </c>
      <c r="Z862" s="32">
        <f t="shared" si="86"/>
        <v>43.2845098039215</v>
      </c>
      <c r="AA862" s="34">
        <v>0</v>
      </c>
      <c r="AB862" s="24">
        <v>0.053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ht="14.25" spans="1:34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4739.73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</v>
      </c>
      <c r="AB863" s="24">
        <v>0.053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ht="14.25" spans="1:34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23632.1666666668</v>
      </c>
      <c r="X864" s="32"/>
      <c r="Y864" s="32">
        <f t="shared" si="85"/>
        <v>23632.1666666668</v>
      </c>
      <c r="Z864" s="32">
        <f t="shared" si="86"/>
        <v>472.643333333337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ht="14.25" spans="1:34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ht="14.25" spans="1:34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0.07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ht="14.25" spans="1:34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197087.378640777</v>
      </c>
      <c r="X867" s="32"/>
      <c r="Y867" s="32">
        <f t="shared" si="85"/>
        <v>197087.378640777</v>
      </c>
      <c r="Z867" s="32">
        <f t="shared" si="86"/>
        <v>5912.6213592233</v>
      </c>
      <c r="AA867" s="34">
        <v>253276.3</v>
      </c>
      <c r="AB867" s="24">
        <v>0.07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ht="14.25" spans="1:34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50276.3000000001</v>
      </c>
      <c r="V868" s="32">
        <f t="shared" si="87"/>
        <v>179723.7</v>
      </c>
      <c r="W868" s="32">
        <f t="shared" si="88"/>
        <v>50276.3000000001</v>
      </c>
      <c r="X868" s="32"/>
      <c r="Y868" s="32">
        <f t="shared" si="85"/>
        <v>50276.3000000001</v>
      </c>
      <c r="Z868" s="32">
        <f t="shared" si="86"/>
        <v>0</v>
      </c>
      <c r="AA868" s="34">
        <v>0</v>
      </c>
      <c r="AB868" s="24">
        <v>0.07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ht="14.25" spans="1:34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ht="14.25" spans="1:34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ht="14.25" spans="1:34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18693.9215686275</v>
      </c>
      <c r="X871" s="32"/>
      <c r="Y871" s="32"/>
      <c r="Z871" s="32">
        <f t="shared" si="86"/>
        <v>373.878431372548</v>
      </c>
      <c r="AA871" s="34">
        <v>0</v>
      </c>
      <c r="AB871" s="24">
        <v>0.053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ht="14.25" spans="1:34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37373.2</v>
      </c>
      <c r="V872" s="32">
        <f t="shared" si="87"/>
        <v>2626.8</v>
      </c>
      <c r="W872" s="32">
        <f t="shared" si="88"/>
        <v>37373.2</v>
      </c>
      <c r="X872" s="32"/>
      <c r="Y872" s="32"/>
      <c r="Z872" s="32">
        <f t="shared" si="86"/>
        <v>0</v>
      </c>
      <c r="AA872" s="34">
        <v>56441</v>
      </c>
      <c r="AB872" s="24">
        <v>0.053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ht="14.25" spans="1:34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ht="14.25" spans="1:34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0.065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ht="14.25" spans="1:34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ht="14.25" spans="1:34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17089.6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0.053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ht="14.25" spans="1:34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0.053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ht="14.25" spans="1:34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0.053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ht="14.25" spans="1:34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0.065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ht="14.25" spans="1:34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0.053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ht="14.25" spans="1:34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0.07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ht="14.25" spans="1:34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ht="14.25" spans="1:34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</v>
      </c>
      <c r="V883" s="32">
        <f t="shared" si="87"/>
        <v>8079.87</v>
      </c>
      <c r="W883" s="32">
        <f t="shared" si="88"/>
        <v>20582.7450980392</v>
      </c>
      <c r="X883" s="32"/>
      <c r="Y883" s="32"/>
      <c r="Z883" s="32">
        <f t="shared" si="86"/>
        <v>411.654901960785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ht="14.25" spans="1:34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ht="14.25" spans="1:34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</v>
      </c>
      <c r="X885" s="32"/>
      <c r="Y885" s="32">
        <f t="shared" si="90"/>
        <v>24309.8039215686</v>
      </c>
      <c r="Z885" s="32">
        <f t="shared" si="86"/>
        <v>486.196078431374</v>
      </c>
      <c r="AA885" s="34">
        <v>31733.59</v>
      </c>
      <c r="AB885" s="24">
        <v>0.053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ht="14.25" spans="1:34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</v>
      </c>
      <c r="X886" s="32"/>
      <c r="Y886" s="32">
        <f t="shared" si="90"/>
        <v>6607.22857142857</v>
      </c>
      <c r="Z886" s="32">
        <f t="shared" si="86"/>
        <v>330.361428571428</v>
      </c>
      <c r="AA886" s="34">
        <v>0</v>
      </c>
      <c r="AB886" s="24">
        <v>0.053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ht="14.25" spans="1:34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-3026.64</v>
      </c>
      <c r="W887" s="32">
        <f t="shared" si="88"/>
        <v>119443.339805825</v>
      </c>
      <c r="X887" s="32"/>
      <c r="Y887" s="32">
        <f t="shared" si="90"/>
        <v>119443.339805825</v>
      </c>
      <c r="Z887" s="32">
        <f t="shared" si="86"/>
        <v>3583.30019417476</v>
      </c>
      <c r="AA887" s="31">
        <v>123026.64</v>
      </c>
      <c r="AB887" s="23">
        <v>0.07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ht="14.25" spans="1:34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0.065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ht="14.25" spans="1:34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17590.1</v>
      </c>
      <c r="V889" s="32">
        <f t="shared" si="87"/>
        <v>12409.9</v>
      </c>
      <c r="W889" s="32">
        <f t="shared" si="88"/>
        <v>17590.1</v>
      </c>
      <c r="X889" s="32"/>
      <c r="Y889" s="32">
        <f t="shared" si="90"/>
        <v>17590.1</v>
      </c>
      <c r="Z889" s="32">
        <f t="shared" si="86"/>
        <v>0</v>
      </c>
      <c r="AA889" s="31">
        <v>7409.15689891933</v>
      </c>
      <c r="AB889" s="23">
        <v>0.065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ht="14.25" spans="1:34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0.065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ht="14.25" spans="1:34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0.065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ht="14.25" spans="1:34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0.065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ht="14.25" spans="1:34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ht="14.25" spans="1:34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7373.81</v>
      </c>
      <c r="W894" s="32">
        <f t="shared" si="88"/>
        <v>2770.77450980392</v>
      </c>
      <c r="X894" s="32"/>
      <c r="Y894" s="32">
        <f t="shared" si="90"/>
        <v>2770.77450980392</v>
      </c>
      <c r="Z894" s="32">
        <f t="shared" si="86"/>
        <v>55.4154901960783</v>
      </c>
      <c r="AA894" s="31">
        <v>2826.19</v>
      </c>
      <c r="AB894" s="23">
        <v>0.053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ht="14.25" spans="1:34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</v>
      </c>
      <c r="X895" s="32"/>
      <c r="Y895" s="32"/>
      <c r="Z895" s="32">
        <f t="shared" si="86"/>
        <v>6.32307692307694</v>
      </c>
      <c r="AA895" s="31">
        <v>0</v>
      </c>
      <c r="AB895" s="23">
        <v>0.065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ht="14.25" spans="1:34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</v>
      </c>
      <c r="AB896" s="23">
        <v>0.065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ht="14.25" spans="1:34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</v>
      </c>
      <c r="X897" s="32"/>
      <c r="Y897" s="32">
        <f t="shared" ref="Y897:Y909" si="91">W897+X897</f>
        <v>5854.00970873786</v>
      </c>
      <c r="Z897" s="32">
        <f t="shared" si="86"/>
        <v>175.620291262136</v>
      </c>
      <c r="AA897" s="34">
        <v>0</v>
      </c>
      <c r="AB897" s="24">
        <v>0.07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ht="14.25" spans="1:34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0.07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ht="14.25" spans="1:34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0.065</v>
      </c>
      <c r="AC899" s="36"/>
      <c r="AD899" s="36"/>
      <c r="AE899" s="31"/>
      <c r="AF899" s="31" t="s">
        <v>53</v>
      </c>
      <c r="AG899" s="23"/>
      <c r="AH899" s="38">
        <v>67</v>
      </c>
    </row>
    <row r="900" ht="14.25" spans="1:34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ht="14.25" spans="1:34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</v>
      </c>
      <c r="W901" s="32">
        <f t="shared" si="88"/>
        <v>28188.3523809524</v>
      </c>
      <c r="X901" s="32"/>
      <c r="Y901" s="32">
        <f t="shared" si="91"/>
        <v>28188.3523809524</v>
      </c>
      <c r="Z901" s="32">
        <f t="shared" ref="Z901:Z964" si="92">U901-W901</f>
        <v>1409.41761904762</v>
      </c>
      <c r="AA901" s="31">
        <v>29597.77</v>
      </c>
      <c r="AB901" s="23">
        <v>0.053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ht="14.25" spans="1:34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</v>
      </c>
      <c r="W902" s="32">
        <f t="shared" si="88"/>
        <v>124359.20952381</v>
      </c>
      <c r="X902" s="32"/>
      <c r="Y902" s="32">
        <f t="shared" si="91"/>
        <v>124359.20952381</v>
      </c>
      <c r="Z902" s="32">
        <f t="shared" si="92"/>
        <v>6217.96047619048</v>
      </c>
      <c r="AA902" s="31">
        <v>130577.17</v>
      </c>
      <c r="AB902" s="23">
        <v>0.053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ht="14.25" spans="1:34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0.053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ht="14.25" spans="1:34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ht="14.25" spans="1:34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0.07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ht="14.25" spans="1:34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ht="14.25" spans="1:34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0.053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ht="14.25" spans="1:34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0.0100000000002183</v>
      </c>
      <c r="T908" s="31"/>
      <c r="U908" s="32">
        <v>0</v>
      </c>
      <c r="V908" s="32">
        <f t="shared" si="93"/>
        <v>0.0100000000002183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ht="14.25" spans="1:34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</v>
      </c>
      <c r="W909" s="32">
        <f t="shared" si="88"/>
        <v>15543.3203883495</v>
      </c>
      <c r="X909" s="32"/>
      <c r="Y909" s="32">
        <f t="shared" si="91"/>
        <v>15543.3203883495</v>
      </c>
      <c r="Z909" s="32">
        <f t="shared" si="92"/>
        <v>466.299611650486</v>
      </c>
      <c r="AA909" s="31">
        <v>16009.62</v>
      </c>
      <c r="AB909" s="23">
        <v>0.07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ht="14.25" spans="1:34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</v>
      </c>
      <c r="V910" s="32">
        <f t="shared" si="93"/>
        <v>10688</v>
      </c>
      <c r="W910" s="32">
        <f t="shared" si="88"/>
        <v>584.174757281553</v>
      </c>
      <c r="X910" s="32"/>
      <c r="Y910" s="44"/>
      <c r="Z910" s="32">
        <f t="shared" si="92"/>
        <v>17.5252427184466</v>
      </c>
      <c r="AA910" s="31">
        <v>207.97014891071</v>
      </c>
      <c r="AB910" s="23">
        <v>0.065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ht="14.25" spans="1:34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4470.9</v>
      </c>
      <c r="T911" s="31"/>
      <c r="U911" s="32">
        <v>2514.6</v>
      </c>
      <c r="V911" s="32">
        <f t="shared" si="93"/>
        <v>1956.3</v>
      </c>
      <c r="W911" s="32">
        <f t="shared" ref="W911:W974" si="94">IF(O911="返货",U911/(1+P911),IF(O911="返现",U911,IF(O911="折扣",U911*P911,IF(O911="无",U911))))</f>
        <v>2441.35922330097</v>
      </c>
      <c r="X911" s="32"/>
      <c r="Y911" s="44"/>
      <c r="Z911" s="32">
        <f t="shared" si="92"/>
        <v>73.2407766990291</v>
      </c>
      <c r="AA911" s="31">
        <v>869.140329816971</v>
      </c>
      <c r="AB911" s="23">
        <v>0.065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ht="14.25" spans="1:34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75008.1446243726</v>
      </c>
      <c r="AB912" s="23">
        <v>0.065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ht="14.25" spans="1:34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</v>
      </c>
      <c r="AB913" s="23">
        <v>0.065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ht="14.25" spans="1:34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</v>
      </c>
      <c r="AB914" s="23">
        <v>0.065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ht="14.25" spans="1:34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ht="14.25" spans="1:34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ht="14.25" spans="1:34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ht="14.25" spans="1:34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ht="14.25" spans="1:34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</v>
      </c>
      <c r="V919" s="32">
        <f t="shared" si="93"/>
        <v>18696.38</v>
      </c>
      <c r="W919" s="32">
        <f t="shared" si="94"/>
        <v>21850.08</v>
      </c>
      <c r="X919" s="32"/>
      <c r="Y919" s="32">
        <f t="shared" si="95"/>
        <v>21850.08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ht="14.25" spans="1:34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33936.38</v>
      </c>
      <c r="V920" s="32">
        <f t="shared" si="93"/>
        <v>25787.09</v>
      </c>
      <c r="W920" s="32">
        <f t="shared" si="94"/>
        <v>33936.38</v>
      </c>
      <c r="X920" s="32"/>
      <c r="Y920" s="32">
        <f t="shared" si="95"/>
        <v>33936.38</v>
      </c>
      <c r="Z920" s="32">
        <f t="shared" si="92"/>
        <v>0</v>
      </c>
      <c r="AA920" s="31">
        <v>11729.6892173682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ht="14.25" spans="1:34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ht="14.25" spans="1:34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5274.37460055444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ht="14.25" spans="1:34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2817.97996404775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ht="14.25" spans="1:34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ht="14.25" spans="1:34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ht="14.25" spans="1:34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3049.2460877575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ht="14.25" spans="1:34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6179.78268460974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ht="14.25" spans="1:34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ht="14.25" spans="1:34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2531.83350089302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ht="14.25" spans="1:34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</v>
      </c>
      <c r="AB930" s="23">
        <v>0.065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ht="14.25" spans="1:34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0.065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ht="14.25" spans="1:34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</v>
      </c>
      <c r="V932" s="32">
        <f t="shared" si="93"/>
        <v>26959.3</v>
      </c>
      <c r="W932" s="32">
        <f t="shared" si="94"/>
        <v>134040.7</v>
      </c>
      <c r="X932" s="32"/>
      <c r="Y932" s="32">
        <f t="shared" si="95"/>
        <v>134040.7</v>
      </c>
      <c r="Z932" s="32">
        <f t="shared" si="92"/>
        <v>0</v>
      </c>
      <c r="AA932" s="31">
        <v>46329.5069621004</v>
      </c>
      <c r="AB932" s="23">
        <v>0.065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ht="14.25" spans="1:34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0.065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ht="14.25" spans="1:34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0.065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ht="14.25" spans="1:34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ht="14.25" spans="1:34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0.065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ht="14.25" spans="1:34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0.065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ht="14.25" spans="1:34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0.065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ht="14.25" spans="1:34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0.065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ht="14.25" spans="1:34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ht="14.25" spans="1:34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ht="14.25" spans="1:34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ht="14.25" spans="1:34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ht="14.25" spans="1:34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ht="14.25" spans="1:34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ht="14.25" spans="1:34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ht="14.25" spans="1:34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ht="14.25" spans="1:34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ht="14.25" spans="1:34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</v>
      </c>
      <c r="W949" s="32">
        <f t="shared" si="94"/>
        <v>38249.2857142857</v>
      </c>
      <c r="X949" s="32"/>
      <c r="Y949" s="32">
        <f t="shared" si="95"/>
        <v>38249.2857142857</v>
      </c>
      <c r="Z949" s="32">
        <f t="shared" si="92"/>
        <v>1912.46428571429</v>
      </c>
      <c r="AA949" s="31">
        <v>40161.75</v>
      </c>
      <c r="AB949" s="23">
        <v>0.165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ht="14.25" spans="1:34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ht="14.25" spans="1:34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ht="14.25" spans="1:34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</v>
      </c>
      <c r="X952" s="32"/>
      <c r="Y952" s="32">
        <f t="shared" si="95"/>
        <v>331057.306930693</v>
      </c>
      <c r="Z952" s="32">
        <f t="shared" si="92"/>
        <v>3310.57306930691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ht="14.25" spans="1:34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ht="14.25" spans="1:34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136883.52</v>
      </c>
      <c r="T954" s="34"/>
      <c r="U954" s="32">
        <v>100117.71</v>
      </c>
      <c r="V954" s="32">
        <f t="shared" si="96"/>
        <v>36765.81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ht="14.25" spans="1:34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118742.574257426</v>
      </c>
      <c r="X955" s="32"/>
      <c r="Y955" s="32">
        <f t="shared" si="95"/>
        <v>118742.574257426</v>
      </c>
      <c r="Z955" s="32">
        <f t="shared" si="92"/>
        <v>1187.42574257425</v>
      </c>
      <c r="AA955" s="34">
        <v>119930</v>
      </c>
      <c r="AB955" s="24">
        <v>0.053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ht="14.25" spans="1:34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</v>
      </c>
      <c r="X956" s="32"/>
      <c r="Y956" s="32">
        <f t="shared" si="95"/>
        <v>247230.247524752</v>
      </c>
      <c r="Z956" s="32">
        <f t="shared" si="92"/>
        <v>2472.30247524753</v>
      </c>
      <c r="AA956" s="31">
        <v>249702.55</v>
      </c>
      <c r="AB956" s="23">
        <v>0.053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ht="14.25" spans="1:34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43</v>
      </c>
      <c r="P957" s="24">
        <v>0</v>
      </c>
      <c r="Q957" s="33">
        <v>16472</v>
      </c>
      <c r="R957" s="30"/>
      <c r="S957" s="34">
        <v>-22399.6</v>
      </c>
      <c r="T957" s="34"/>
      <c r="U957" s="32">
        <v>12162.45</v>
      </c>
      <c r="V957" s="32">
        <f t="shared" si="96"/>
        <v>-34562.05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ht="14.25" spans="1:34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147430.08</v>
      </c>
      <c r="U958" s="32">
        <v>195665.23</v>
      </c>
      <c r="V958" s="32">
        <f t="shared" si="96"/>
        <v>106116.03</v>
      </c>
      <c r="W958" s="32">
        <f t="shared" si="94"/>
        <v>193727.95049505</v>
      </c>
      <c r="X958" s="32"/>
      <c r="Y958" s="32">
        <f t="shared" si="95"/>
        <v>193727.95049505</v>
      </c>
      <c r="Z958" s="32">
        <f t="shared" si="92"/>
        <v>1937.27950495051</v>
      </c>
      <c r="AA958" s="34">
        <v>195665.23</v>
      </c>
      <c r="AB958" s="24">
        <v>0.053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ht="14.25" spans="1:34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</v>
      </c>
      <c r="T959" s="34"/>
      <c r="U959" s="32">
        <v>1362.46</v>
      </c>
      <c r="V959" s="32">
        <f t="shared" si="96"/>
        <v>-70325.7</v>
      </c>
      <c r="W959" s="32">
        <f t="shared" si="94"/>
        <v>1310.05769230769</v>
      </c>
      <c r="X959" s="32"/>
      <c r="Y959" s="32">
        <f t="shared" si="95"/>
        <v>1310.05769230769</v>
      </c>
      <c r="Z959" s="32">
        <f t="shared" si="92"/>
        <v>52.4023076923077</v>
      </c>
      <c r="AA959" s="34">
        <v>1362.46</v>
      </c>
      <c r="AB959" s="24">
        <v>0.133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ht="14.25" spans="1:34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274698.66</v>
      </c>
      <c r="T960" s="34">
        <v>3333.26</v>
      </c>
      <c r="U960" s="32">
        <v>101875.94</v>
      </c>
      <c r="V960" s="32">
        <f t="shared" si="96"/>
        <v>176155.98</v>
      </c>
      <c r="W960" s="32">
        <f t="shared" si="94"/>
        <v>100867.267326733</v>
      </c>
      <c r="X960" s="32"/>
      <c r="Y960" s="32">
        <f t="shared" si="95"/>
        <v>100867.267326733</v>
      </c>
      <c r="Z960" s="32">
        <f t="shared" si="92"/>
        <v>1008.67267326733</v>
      </c>
      <c r="AA960" s="34">
        <v>101875.94</v>
      </c>
      <c r="AB960" s="24">
        <v>0.053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ht="14.25" spans="1:34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794165.702970297</v>
      </c>
      <c r="X961" s="32"/>
      <c r="Y961" s="32">
        <f t="shared" si="95"/>
        <v>794165.702970297</v>
      </c>
      <c r="Z961" s="32">
        <f t="shared" si="92"/>
        <v>7941.65702970303</v>
      </c>
      <c r="AA961" s="31">
        <v>802107.36</v>
      </c>
      <c r="AB961" s="23">
        <v>0.07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ht="14.25" spans="1:34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1149.7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ht="14.25" spans="1:34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-118000.55</v>
      </c>
      <c r="W963" s="32">
        <f t="shared" si="94"/>
        <v>59598.4038461538</v>
      </c>
      <c r="X963" s="32"/>
      <c r="Y963" s="32">
        <f t="shared" si="95"/>
        <v>59598.4038461538</v>
      </c>
      <c r="Z963" s="32">
        <f t="shared" si="92"/>
        <v>2383.93615384615</v>
      </c>
      <c r="AA963" s="34">
        <v>61982.34</v>
      </c>
      <c r="AB963" s="24">
        <v>0.133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ht="14.25" spans="1:34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0.053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ht="14.25" spans="1:34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43</v>
      </c>
      <c r="P965" s="24">
        <v>0.03</v>
      </c>
      <c r="Q965" s="33" t="s">
        <v>65</v>
      </c>
      <c r="R965" s="30"/>
      <c r="S965" s="34">
        <v>233074.43</v>
      </c>
      <c r="T965" s="34">
        <v>60782.54</v>
      </c>
      <c r="U965" s="32">
        <v>293856.97</v>
      </c>
      <c r="V965" s="32">
        <f t="shared" si="96"/>
        <v>0</v>
      </c>
      <c r="W965" s="32">
        <f t="shared" si="94"/>
        <v>285298.029126214</v>
      </c>
      <c r="X965" s="32"/>
      <c r="Y965" s="32">
        <f t="shared" si="95"/>
        <v>285298.029126214</v>
      </c>
      <c r="Z965" s="32">
        <f t="shared" ref="Z965:Z1028" si="97">U965-W965</f>
        <v>8558.9408737864</v>
      </c>
      <c r="AA965" s="34">
        <v>641554.44</v>
      </c>
      <c r="AB965" s="24">
        <v>0.07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ht="14.25" spans="1:34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0.07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ht="14.25" spans="1:34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0.053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ht="14.25" spans="1:34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ht="14.25" spans="1:34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ht="14.25" spans="1:34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143804.3</v>
      </c>
      <c r="V970" s="32">
        <f t="shared" si="96"/>
        <v>102531.99</v>
      </c>
      <c r="W970" s="32">
        <f t="shared" si="94"/>
        <v>140984.607843137</v>
      </c>
      <c r="X970" s="32"/>
      <c r="Y970" s="32">
        <f t="shared" si="95"/>
        <v>140984.607843137</v>
      </c>
      <c r="Z970" s="32">
        <f t="shared" si="97"/>
        <v>2819.69215686276</v>
      </c>
      <c r="AA970" s="31">
        <v>143804.3</v>
      </c>
      <c r="AB970" s="23">
        <v>0.053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ht="14.25" spans="1:34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ht="14.25" spans="1:34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0.053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ht="14.25" spans="1:34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ht="14.25" spans="1:34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</v>
      </c>
      <c r="W974" s="32">
        <f t="shared" si="94"/>
        <v>2342.32038834951</v>
      </c>
      <c r="X974" s="32"/>
      <c r="Y974" s="32">
        <f t="shared" si="95"/>
        <v>2342.32038834951</v>
      </c>
      <c r="Z974" s="32">
        <f t="shared" si="97"/>
        <v>70.2696116504853</v>
      </c>
      <c r="AA974" s="31">
        <v>833.881837394864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ht="14.25" spans="1:34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142678.81413341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ht="14.25" spans="1:34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7108.59999999998</v>
      </c>
      <c r="W976" s="32">
        <f t="shared" si="99"/>
        <v>355775.882352941</v>
      </c>
      <c r="X976" s="32"/>
      <c r="Y976" s="32">
        <f t="shared" ref="Y976:Y1005" si="100">W976+X976</f>
        <v>355775.882352941</v>
      </c>
      <c r="Z976" s="32">
        <f t="shared" si="97"/>
        <v>7115.51764705882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ht="14.25" spans="1:34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</v>
      </c>
      <c r="X977" s="32"/>
      <c r="Y977" s="32">
        <f t="shared" si="100"/>
        <v>48453.854368932</v>
      </c>
      <c r="Z977" s="32">
        <f t="shared" si="97"/>
        <v>1453.61563106797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ht="14.25" spans="1:34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ht="14.25" spans="1:34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0.07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ht="14.25" spans="1:34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0.065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ht="14.25" spans="1:34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ht="14.25" spans="1:34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ht="14.25" spans="1:34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2800.21073460533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ht="14.25" spans="1:34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ht="14.25" spans="1:34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43</v>
      </c>
      <c r="P985" s="23">
        <v>0.03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44172.7961165049</v>
      </c>
      <c r="X985" s="32"/>
      <c r="Y985" s="32">
        <f t="shared" si="100"/>
        <v>44172.7961165049</v>
      </c>
      <c r="Z985" s="32">
        <f t="shared" si="97"/>
        <v>1325.18388349515</v>
      </c>
      <c r="AA985" s="31">
        <v>45497.98</v>
      </c>
      <c r="AB985" s="23">
        <v>0.07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ht="14.25" spans="1:34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0.065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ht="14.25" spans="1:34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-20865.76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</v>
      </c>
      <c r="X987" s="32"/>
      <c r="Y987" s="32">
        <f t="shared" si="100"/>
        <v>900.465714285714</v>
      </c>
      <c r="Z987" s="32">
        <f t="shared" si="97"/>
        <v>-648.375714285714</v>
      </c>
      <c r="AA987" s="31">
        <v>252.09</v>
      </c>
      <c r="AB987" s="23">
        <v>0.07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ht="14.25" spans="1:34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0.053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ht="14.25" spans="1:34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0.065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ht="14.25" spans="1:34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9627.47999999998</v>
      </c>
      <c r="T990" s="31"/>
      <c r="U990" s="32">
        <v>0</v>
      </c>
      <c r="V990" s="32">
        <f t="shared" si="98"/>
        <v>9627.47999999998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0.053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ht="14.25" spans="1:34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19864.6</v>
      </c>
      <c r="T991" s="31"/>
      <c r="U991" s="32">
        <v>0</v>
      </c>
      <c r="V991" s="32">
        <f t="shared" si="98"/>
        <v>19864.6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0.053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ht="14.25" spans="1:34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35114.59</v>
      </c>
      <c r="T992" s="31"/>
      <c r="U992" s="32">
        <v>0</v>
      </c>
      <c r="V992" s="32">
        <f t="shared" si="98"/>
        <v>35114.59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0.053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ht="14.25" spans="1:34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0.065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ht="14.25" spans="1:34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0.053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ht="14.25" spans="1:34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0.07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ht="14.25" spans="1:34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9612.77669902913</v>
      </c>
      <c r="X996" s="32"/>
      <c r="Y996" s="32">
        <f t="shared" si="100"/>
        <v>9612.77669902913</v>
      </c>
      <c r="Z996" s="32">
        <f t="shared" si="97"/>
        <v>288.383300970874</v>
      </c>
      <c r="AA996" s="31">
        <v>9901.16</v>
      </c>
      <c r="AB996" s="23">
        <v>0.07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ht="14.25" spans="1:34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0.07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ht="14.25" spans="1:34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ht="14.25" spans="1:34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</v>
      </c>
      <c r="X999" s="32"/>
      <c r="Y999" s="32">
        <f t="shared" si="100"/>
        <v>38.7254901960784</v>
      </c>
      <c r="Z999" s="32">
        <f t="shared" si="97"/>
        <v>0.774509803921568</v>
      </c>
      <c r="AA999" s="31">
        <v>39.5</v>
      </c>
      <c r="AB999" s="23">
        <v>0.053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ht="14.25" spans="1:34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657.499999999999</v>
      </c>
      <c r="T1000" s="31"/>
      <c r="U1000" s="32">
        <v>398.5</v>
      </c>
      <c r="V1000" s="32">
        <f t="shared" si="98"/>
        <v>258.999999999999</v>
      </c>
      <c r="W1000" s="32">
        <f t="shared" si="101"/>
        <v>390.686274509804</v>
      </c>
      <c r="X1000" s="32"/>
      <c r="Y1000" s="32">
        <f t="shared" si="100"/>
        <v>390.686274509804</v>
      </c>
      <c r="Z1000" s="32">
        <f t="shared" si="97"/>
        <v>7.81372549019608</v>
      </c>
      <c r="AA1000" s="31">
        <v>137.736586905298</v>
      </c>
      <c r="AB1000" s="23">
        <v>0.065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ht="14.25" spans="1:34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0.065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ht="14.25" spans="1:34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0.07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ht="14.25" spans="1:34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0.065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ht="14.25" spans="1:34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0.065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ht="14.25" spans="1:34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0.065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ht="14.25" spans="1:34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0.07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ht="14.25" spans="1:34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0.065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ht="14.25" spans="1:34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-0.0400000000081491</v>
      </c>
      <c r="T1008" s="31"/>
      <c r="U1008" s="32">
        <v>0</v>
      </c>
      <c r="V1008" s="32">
        <f t="shared" si="98"/>
        <v>-0.0400000000081491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0.07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ht="14.25" spans="1:34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0.07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ht="14.25" spans="1:34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1905.88235294119</v>
      </c>
      <c r="X1010" s="32"/>
      <c r="Y1010" s="32">
        <f t="shared" si="102"/>
        <v>1905.88235294119</v>
      </c>
      <c r="Z1010" s="32">
        <f t="shared" si="97"/>
        <v>38.1176470588236</v>
      </c>
      <c r="AA1010" s="31">
        <v>0</v>
      </c>
      <c r="AB1010" s="23">
        <v>0.065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ht="14.25" spans="1:34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4828.69564291538</v>
      </c>
      <c r="AB1011" s="23">
        <v>0.065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ht="14.25" spans="1:34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0.065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ht="14.25" spans="1:34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0.065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ht="14.25" spans="1:34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8154460.09</v>
      </c>
      <c r="W1014" s="32">
        <f t="shared" si="101"/>
        <v>22520336.5445545</v>
      </c>
      <c r="X1014" s="32"/>
      <c r="Y1014" s="32">
        <f>W1014+X1014</f>
        <v>22520336.5445545</v>
      </c>
      <c r="Z1014" s="32">
        <f t="shared" si="97"/>
        <v>225203.365445543</v>
      </c>
      <c r="AA1014" s="34">
        <v>23300526.26</v>
      </c>
      <c r="AB1014" s="24">
        <v>0.07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ht="14.25" spans="1:34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</v>
      </c>
      <c r="T1015" s="34">
        <v>0</v>
      </c>
      <c r="U1015" s="34">
        <v>554986.350000001</v>
      </c>
      <c r="V1015" s="32">
        <f t="shared" si="98"/>
        <v>0</v>
      </c>
      <c r="W1015" s="32">
        <f t="shared" si="101"/>
        <v>528558.42857143</v>
      </c>
      <c r="X1015" s="32"/>
      <c r="Y1015" s="32">
        <f>W1015+X1015</f>
        <v>528558.42857143</v>
      </c>
      <c r="Z1015" s="32">
        <f t="shared" si="97"/>
        <v>26427.9214285715</v>
      </c>
      <c r="AA1015" s="34">
        <v>0</v>
      </c>
      <c r="AB1015" s="24">
        <v>0.07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ht="14.25" spans="1:34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0.07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ht="14.25" spans="1:34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</v>
      </c>
      <c r="AB1017" s="23">
        <v>0.065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ht="14.25" spans="1:34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</v>
      </c>
      <c r="AB1018" s="23">
        <v>0.065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ht="14.25" spans="1:34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630.926890180505</v>
      </c>
      <c r="AB1019" s="23">
        <v>0.065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ht="14.25" spans="1:34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0.0100000000002183</v>
      </c>
      <c r="T1020" s="31"/>
      <c r="U1020" s="32">
        <v>0</v>
      </c>
      <c r="V1020" s="32">
        <f t="shared" si="98"/>
        <v>0.0100000000002183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ht="14.25" spans="1:34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ht="14.25" spans="1:34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ht="14.25" spans="1:34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ht="14.25" spans="1:34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ht="14.25" spans="1:34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ht="14.25" spans="1:34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0.065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ht="14.25" spans="1:34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</v>
      </c>
      <c r="T1027" s="31"/>
      <c r="U1027" s="32">
        <v>0</v>
      </c>
      <c r="V1027" s="32">
        <f t="shared" si="105"/>
        <v>8774.7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0.053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ht="14.25" spans="1:34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0.065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ht="14.25" spans="1:34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ht="14.25" spans="1:34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26251.76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</v>
      </c>
      <c r="AB1030" s="23">
        <v>0.065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ht="14.25" spans="1:34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17810.42</v>
      </c>
      <c r="V1031" s="32">
        <f t="shared" si="105"/>
        <v>32189.58</v>
      </c>
      <c r="W1031" s="32">
        <f t="shared" si="101"/>
        <v>17810.42</v>
      </c>
      <c r="X1031" s="32"/>
      <c r="Y1031" s="32"/>
      <c r="Z1031" s="32">
        <f t="shared" si="106"/>
        <v>0</v>
      </c>
      <c r="AA1031" s="31">
        <v>6155.95097151785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ht="14.25" spans="1:34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0.053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ht="14.25" spans="1:34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0.053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ht="14.25" spans="1:34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19714.35</v>
      </c>
      <c r="T1034" s="31"/>
      <c r="U1034" s="32">
        <v>16181.3</v>
      </c>
      <c r="V1034" s="32">
        <f t="shared" si="105"/>
        <v>3533.05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0.053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ht="14.25" spans="1:34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155475.3</v>
      </c>
      <c r="T1035" s="31"/>
      <c r="U1035" s="32">
        <v>0</v>
      </c>
      <c r="V1035" s="32">
        <f t="shared" si="105"/>
        <v>155475.3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0.053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ht="14.25" spans="1:34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ht="14.25" spans="1:34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ht="14.25" spans="1:34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21569.02</v>
      </c>
      <c r="T1038" s="31"/>
      <c r="U1038" s="45">
        <v>7723.9</v>
      </c>
      <c r="V1038" s="32">
        <f t="shared" si="108"/>
        <v>13845.12</v>
      </c>
      <c r="W1038" s="32">
        <f t="shared" si="101"/>
        <v>7723.9</v>
      </c>
      <c r="X1038" s="32">
        <f t="shared" ref="X1038:X1042" si="109">W1038*R1038</f>
        <v>424.8145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ht="14.25" spans="1:34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15000</v>
      </c>
      <c r="T1039" s="31"/>
      <c r="U1039" s="45">
        <v>9357.3</v>
      </c>
      <c r="V1039" s="32">
        <f t="shared" si="108"/>
        <v>5642.7</v>
      </c>
      <c r="W1039" s="32">
        <f t="shared" si="101"/>
        <v>9357.3</v>
      </c>
      <c r="X1039" s="32">
        <f t="shared" si="109"/>
        <v>514.6515</v>
      </c>
      <c r="Y1039" s="32">
        <f t="shared" si="107"/>
        <v>9871.9515</v>
      </c>
      <c r="Z1039" s="32">
        <f t="shared" si="106"/>
        <v>0</v>
      </c>
      <c r="AA1039" s="45">
        <v>9357.3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ht="14.25" spans="1:34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ht="14.25" spans="1:34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ht="14.25" spans="1:34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ht="14.25" spans="1:34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ht="14.25" spans="1:34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0.053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ht="14.25" spans="1:34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46739.02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0.053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ht="14.25" spans="1:34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5725.73999999999</v>
      </c>
      <c r="T1046" s="34">
        <v>0</v>
      </c>
      <c r="U1046" s="32">
        <v>5725.74</v>
      </c>
      <c r="V1046" s="32">
        <v>0</v>
      </c>
      <c r="W1046" s="32">
        <f t="shared" si="101"/>
        <v>5558.97087378641</v>
      </c>
      <c r="X1046" s="32"/>
      <c r="Y1046" s="32">
        <f t="shared" si="107"/>
        <v>5558.97087378641</v>
      </c>
      <c r="Z1046" s="32">
        <f t="shared" si="106"/>
        <v>166.769126213592</v>
      </c>
      <c r="AA1046" s="34">
        <v>5725.74</v>
      </c>
      <c r="AB1046" s="24">
        <v>0.07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ht="14.25" spans="1:34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0.07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ht="14.25" spans="1:34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36.960000000021</v>
      </c>
      <c r="W1048" s="32">
        <f t="shared" si="101"/>
        <v>490159.843137255</v>
      </c>
      <c r="X1048" s="32"/>
      <c r="Y1048" s="32">
        <f t="shared" si="107"/>
        <v>490159.843137255</v>
      </c>
      <c r="Z1048" s="32">
        <f t="shared" si="106"/>
        <v>9803.1968627451</v>
      </c>
      <c r="AA1048" s="31">
        <v>499963.04</v>
      </c>
      <c r="AB1048" s="23">
        <v>0.07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ht="14.25" spans="1:34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</v>
      </c>
      <c r="X1049" s="32"/>
      <c r="Y1049" s="32">
        <f t="shared" si="107"/>
        <v>1437864.98076923</v>
      </c>
      <c r="Z1049" s="32">
        <f t="shared" si="106"/>
        <v>57514.5992307693</v>
      </c>
      <c r="AA1049" s="34">
        <v>10697376.15</v>
      </c>
      <c r="AB1049" s="24">
        <v>0.07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ht="14.25" spans="1:34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</v>
      </c>
      <c r="V1050" s="32">
        <f t="shared" si="110"/>
        <v>7188003.43</v>
      </c>
      <c r="W1050" s="32">
        <f t="shared" si="101"/>
        <v>9201996.57</v>
      </c>
      <c r="X1050" s="32"/>
      <c r="Y1050" s="32">
        <f t="shared" si="107"/>
        <v>9201996.57</v>
      </c>
      <c r="Z1050" s="32">
        <f t="shared" si="106"/>
        <v>0</v>
      </c>
      <c r="AA1050" s="34">
        <v>0</v>
      </c>
      <c r="AB1050" s="24">
        <v>0.07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ht="14.25" spans="1:34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</v>
      </c>
      <c r="X1051" s="32"/>
      <c r="Y1051" s="32">
        <f t="shared" si="107"/>
        <v>69650.5490196078</v>
      </c>
      <c r="Z1051" s="32">
        <f t="shared" si="106"/>
        <v>1393.01098039215</v>
      </c>
      <c r="AA1051" s="31">
        <v>119479.524542539</v>
      </c>
      <c r="AB1051" s="23">
        <v>0.065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ht="14.25" spans="1:34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274635.04</v>
      </c>
      <c r="V1052" s="32">
        <f t="shared" si="110"/>
        <v>95364.96</v>
      </c>
      <c r="W1052" s="32">
        <f t="shared" ref="W1052:W1115" si="111">IF(O1052="返货",U1052/(1+P1052),IF(O1052="返现",U1052,IF(O1052="折扣",U1052*P1052,IF(O1052="无",U1052))))</f>
        <v>274635.04</v>
      </c>
      <c r="X1052" s="32"/>
      <c r="Y1052" s="32">
        <f t="shared" si="107"/>
        <v>274635.04</v>
      </c>
      <c r="Z1052" s="32">
        <f t="shared" si="106"/>
        <v>0</v>
      </c>
      <c r="AA1052" s="31">
        <v>0</v>
      </c>
      <c r="AB1052" s="23">
        <v>0.065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ht="14.25" spans="1:34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</v>
      </c>
      <c r="V1053" s="32">
        <v>0</v>
      </c>
      <c r="W1053" s="32">
        <f t="shared" si="111"/>
        <v>6515.45631067962</v>
      </c>
      <c r="X1053" s="32"/>
      <c r="Y1053" s="32">
        <f t="shared" si="107"/>
        <v>6515.45631067962</v>
      </c>
      <c r="Z1053" s="32">
        <f t="shared" si="106"/>
        <v>195.463689320389</v>
      </c>
      <c r="AA1053" s="31">
        <v>219473.7</v>
      </c>
      <c r="AB1053" s="23">
        <v>0.165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ht="14.25" spans="1:34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7297.31999999998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ht="14.25" spans="1:34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</v>
      </c>
      <c r="T1055" s="31"/>
      <c r="U1055" s="32">
        <v>0</v>
      </c>
      <c r="V1055" s="32">
        <f t="shared" ref="V1055:V1064" si="112">S1055+T1055-U1055</f>
        <v>2274.30000000005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ht="14.25" spans="1:34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ht="14.25" spans="1:34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ht="14.25" spans="1:34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ht="14.25" spans="1:34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43593.35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0.053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ht="14.25" spans="1:34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</v>
      </c>
      <c r="T1060" s="31"/>
      <c r="U1060" s="32">
        <v>251064.65</v>
      </c>
      <c r="V1060" s="32">
        <f t="shared" si="112"/>
        <v>876330.44</v>
      </c>
      <c r="W1060" s="32">
        <f t="shared" si="111"/>
        <v>246141.81372549</v>
      </c>
      <c r="X1060" s="32"/>
      <c r="Y1060" s="32">
        <f t="shared" si="113"/>
        <v>246141.81372549</v>
      </c>
      <c r="Z1060" s="32">
        <f t="shared" si="106"/>
        <v>4922.83627450981</v>
      </c>
      <c r="AA1060" s="31">
        <v>86777.3851532579</v>
      </c>
      <c r="AB1060" s="23">
        <v>0.065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ht="14.25" spans="1:34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</v>
      </c>
      <c r="X1061" s="32"/>
      <c r="Y1061" s="32">
        <f t="shared" si="113"/>
        <v>1417264.77884615</v>
      </c>
      <c r="Z1061" s="32">
        <f t="shared" si="106"/>
        <v>56690.5911538461</v>
      </c>
      <c r="AA1061" s="34">
        <v>0</v>
      </c>
      <c r="AB1061" s="24">
        <v>0.07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ht="14.25" spans="1:34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0.07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ht="14.25" spans="1:34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0.035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</v>
      </c>
      <c r="X1063" s="32"/>
      <c r="Y1063" s="32">
        <f t="shared" si="113"/>
        <v>314281.342995169</v>
      </c>
      <c r="Z1063" s="32">
        <f t="shared" si="106"/>
        <v>10999.8470048309</v>
      </c>
      <c r="AA1063" s="34">
        <v>302372.49</v>
      </c>
      <c r="AB1063" s="24">
        <v>0.07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ht="14.25" spans="1:34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0.07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ht="14.25" spans="1:34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ht="14.25" spans="1:34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0.07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ht="14.25" spans="1:34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0.07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ht="14.25" spans="1:34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0.07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ht="14.25" spans="1:34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166959.25</v>
      </c>
      <c r="W1069" s="32">
        <f t="shared" si="111"/>
        <v>236839.558823529</v>
      </c>
      <c r="X1069" s="32"/>
      <c r="Y1069" s="32">
        <f t="shared" si="113"/>
        <v>236839.558823529</v>
      </c>
      <c r="Z1069" s="32">
        <f t="shared" si="106"/>
        <v>4736.79117647058</v>
      </c>
      <c r="AA1069" s="31">
        <v>241576.35</v>
      </c>
      <c r="AB1069" s="23">
        <v>0.053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ht="14.25" spans="1:34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</v>
      </c>
      <c r="W1070" s="32">
        <f t="shared" si="111"/>
        <v>166050.235294118</v>
      </c>
      <c r="X1070" s="32"/>
      <c r="Y1070" s="32">
        <f t="shared" si="113"/>
        <v>166050.235294118</v>
      </c>
      <c r="Z1070" s="32">
        <f t="shared" si="106"/>
        <v>3321.00470588237</v>
      </c>
      <c r="AA1070" s="31">
        <v>169371.24</v>
      </c>
      <c r="AB1070" s="23">
        <v>0.053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ht="14.25" spans="1:34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ht="14.25" spans="1:34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0.07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ht="14.25" spans="1:34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1171200.38</v>
      </c>
      <c r="V1073" s="32">
        <f t="shared" si="114"/>
        <v>1428799.62</v>
      </c>
      <c r="W1073" s="32">
        <f t="shared" si="111"/>
        <v>1171200.38</v>
      </c>
      <c r="X1073" s="32"/>
      <c r="Y1073" s="32">
        <f t="shared" si="113"/>
        <v>1171200.38</v>
      </c>
      <c r="Z1073" s="32">
        <f t="shared" si="106"/>
        <v>0</v>
      </c>
      <c r="AA1073" s="31">
        <v>1171200.38</v>
      </c>
      <c r="AB1073" s="23">
        <v>0.07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ht="14.25" spans="1:34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</v>
      </c>
      <c r="X1074" s="32"/>
      <c r="Y1074" s="32">
        <f t="shared" si="113"/>
        <v>18855.9901960784</v>
      </c>
      <c r="Z1074" s="32">
        <f t="shared" si="106"/>
        <v>377.119803921571</v>
      </c>
      <c r="AA1074" s="31">
        <v>0</v>
      </c>
      <c r="AB1074" s="23">
        <v>0.065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ht="14.25" spans="1:34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17526.67</v>
      </c>
      <c r="V1075" s="32">
        <f t="shared" si="114"/>
        <v>12473.33</v>
      </c>
      <c r="W1075" s="32">
        <f t="shared" si="111"/>
        <v>17526.67</v>
      </c>
      <c r="X1075" s="32"/>
      <c r="Y1075" s="32">
        <f t="shared" si="113"/>
        <v>17526.67</v>
      </c>
      <c r="Z1075" s="32">
        <f t="shared" si="106"/>
        <v>0</v>
      </c>
      <c r="AA1075" s="31">
        <v>12705.5624406265</v>
      </c>
      <c r="AB1075" s="23">
        <v>0.065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ht="14.25" spans="1:34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420692.235849057</v>
      </c>
      <c r="X1076" s="32"/>
      <c r="Y1076" s="32">
        <f t="shared" si="113"/>
        <v>420692.235849057</v>
      </c>
      <c r="Z1076" s="32">
        <f t="shared" si="106"/>
        <v>25241.5341509434</v>
      </c>
      <c r="AA1076" s="31">
        <v>158835.523159966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ht="14.25" spans="1:34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12601.6203703703</v>
      </c>
      <c r="X1077" s="32"/>
      <c r="Y1077" s="32">
        <f t="shared" si="113"/>
        <v>12601.6203703703</v>
      </c>
      <c r="Z1077" s="32">
        <f t="shared" si="106"/>
        <v>1008.12962962962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ht="14.25" spans="1:34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9074.43137254902</v>
      </c>
      <c r="X1078" s="32"/>
      <c r="Y1078" s="32">
        <f t="shared" si="113"/>
        <v>9074.43137254902</v>
      </c>
      <c r="Z1078" s="32">
        <f t="shared" si="106"/>
        <v>181.488627450981</v>
      </c>
      <c r="AA1078" s="31">
        <v>9255.92</v>
      </c>
      <c r="AB1078" s="23">
        <v>0.053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ht="14.25" spans="1:34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</v>
      </c>
      <c r="T1079" s="34"/>
      <c r="U1079" s="34">
        <v>66147.32</v>
      </c>
      <c r="V1079" s="32">
        <f t="shared" si="114"/>
        <v>0</v>
      </c>
      <c r="W1079" s="32">
        <f t="shared" si="111"/>
        <v>64850.3137254902</v>
      </c>
      <c r="X1079" s="32"/>
      <c r="Y1079" s="32">
        <f t="shared" si="113"/>
        <v>64850.3137254902</v>
      </c>
      <c r="Z1079" s="32">
        <f t="shared" si="106"/>
        <v>1297.0062745098</v>
      </c>
      <c r="AA1079" s="34">
        <v>0</v>
      </c>
      <c r="AB1079" s="24">
        <v>0.053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ht="14.25" spans="1:34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87867.2</v>
      </c>
      <c r="AB1080" s="24">
        <v>0.053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ht="14.25" spans="1:34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ht="14.25" spans="1:34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ht="14.25" spans="1:34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ht="14.25" spans="1:34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52514.1200000001</v>
      </c>
      <c r="T1084" s="34"/>
      <c r="U1084" s="34">
        <v>52514.1200000001</v>
      </c>
      <c r="V1084" s="32">
        <f t="shared" si="114"/>
        <v>0</v>
      </c>
      <c r="W1084" s="32">
        <f t="shared" si="111"/>
        <v>50494.3461538462</v>
      </c>
      <c r="X1084" s="32"/>
      <c r="Y1084" s="32">
        <f t="shared" si="113"/>
        <v>50494.3461538462</v>
      </c>
      <c r="Z1084" s="32">
        <f t="shared" si="106"/>
        <v>2019.77384615385</v>
      </c>
      <c r="AA1084" s="34">
        <v>0</v>
      </c>
      <c r="AB1084" s="24">
        <v>0.07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ht="14.25" spans="1:34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56147.62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0.07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ht="14.25" spans="1:34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ht="14.25" spans="1:34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ht="14.25" spans="1:34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</v>
      </c>
      <c r="Q1088" s="29">
        <v>1000015721</v>
      </c>
      <c r="R1088" s="30"/>
      <c r="S1088" s="31">
        <v>68.29</v>
      </c>
      <c r="T1088" s="31"/>
      <c r="U1088" s="32">
        <v>0</v>
      </c>
      <c r="V1088" s="32">
        <f t="shared" si="114"/>
        <v>68.29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ht="14.25" spans="1:34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ht="14.25" spans="1:34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</v>
      </c>
      <c r="X1090" s="32"/>
      <c r="Y1090" s="32">
        <f t="shared" si="113"/>
        <v>52604.0769230769</v>
      </c>
      <c r="Z1090" s="32">
        <f t="shared" si="106"/>
        <v>2104.16307692308</v>
      </c>
      <c r="AA1090" s="31">
        <v>54708.24</v>
      </c>
      <c r="AB1090" s="23">
        <v>0.07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ht="14.25" spans="1:34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13230.29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0.07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ht="14.25" spans="1:34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28964.96</v>
      </c>
      <c r="T1092" s="31"/>
      <c r="U1092" s="32">
        <v>0</v>
      </c>
      <c r="V1092" s="32">
        <f t="shared" si="114"/>
        <v>28964.96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0.065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ht="14.25" spans="1:34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20.15</v>
      </c>
      <c r="T1093" s="31"/>
      <c r="U1093" s="32">
        <v>0</v>
      </c>
      <c r="V1093" s="32">
        <f t="shared" si="114"/>
        <v>20.15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0.065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ht="14.25" spans="1:34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0.065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ht="14.25" spans="1:34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0.07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ht="14.25" spans="1:34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0.07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ht="14.25" spans="1:34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0.07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ht="14.25" spans="1:34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ht="14.25" spans="1:34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0.065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ht="14.25" spans="1:34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633975.029999999</v>
      </c>
      <c r="T1100" s="31">
        <v>4858525</v>
      </c>
      <c r="U1100" s="32">
        <v>2996741.33</v>
      </c>
      <c r="V1100" s="32">
        <f t="shared" ref="V1100:V1123" si="116">S1100+T1100-U1100</f>
        <v>2495758.7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0.07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ht="14.25" spans="1:34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3959005.89</v>
      </c>
      <c r="T1101" s="31">
        <v>-5707755.18</v>
      </c>
      <c r="U1101" s="32">
        <v>0</v>
      </c>
      <c r="V1101" s="32">
        <f t="shared" si="116"/>
        <v>-1748749.29</v>
      </c>
      <c r="W1101" s="32">
        <f t="shared" si="111"/>
        <v>0</v>
      </c>
      <c r="X1101" s="32"/>
      <c r="Y1101" s="32">
        <f t="shared" si="113"/>
        <v>0</v>
      </c>
      <c r="Z1101" s="32">
        <f t="shared" si="115"/>
        <v>0</v>
      </c>
      <c r="AA1101" s="31">
        <v>0</v>
      </c>
      <c r="AB1101" s="23">
        <v>0.07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ht="14.25" spans="1:34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4452000</v>
      </c>
      <c r="T1102" s="31">
        <v>5662520</v>
      </c>
      <c r="U1102" s="32">
        <v>45859.39</v>
      </c>
      <c r="V1102" s="32">
        <f t="shared" si="116"/>
        <v>10068660.61</v>
      </c>
      <c r="W1102" s="32">
        <f t="shared" si="111"/>
        <v>43263.5754716981</v>
      </c>
      <c r="X1102" s="32"/>
      <c r="Y1102" s="32">
        <f t="shared" si="113"/>
        <v>43263.5754716981</v>
      </c>
      <c r="Z1102" s="32">
        <f t="shared" si="115"/>
        <v>2595.81452830189</v>
      </c>
      <c r="AA1102" s="31">
        <v>45859.39</v>
      </c>
      <c r="AB1102" s="23">
        <v>0.07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ht="14.25" spans="1:34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43</v>
      </c>
      <c r="P1103" s="24">
        <v>0.06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244086.886792453</v>
      </c>
      <c r="X1103" s="32"/>
      <c r="Y1103" s="32">
        <f t="shared" si="113"/>
        <v>244086.886792453</v>
      </c>
      <c r="Z1103" s="32">
        <f t="shared" si="115"/>
        <v>14645.2132075472</v>
      </c>
      <c r="AA1103" s="34">
        <v>0</v>
      </c>
      <c r="AB1103" s="24">
        <v>0.07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ht="14.25" spans="1:34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6700000</v>
      </c>
      <c r="U1104" s="32">
        <v>4850960.43</v>
      </c>
      <c r="V1104" s="32">
        <f t="shared" si="116"/>
        <v>1849039.57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0.07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ht="14.25" spans="1:34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</v>
      </c>
      <c r="X1105" s="32"/>
      <c r="Y1105" s="32">
        <f t="shared" si="113"/>
        <v>188727.79245283</v>
      </c>
      <c r="Z1105" s="32">
        <f t="shared" si="115"/>
        <v>11323.6675471698</v>
      </c>
      <c r="AA1105" s="34">
        <v>0</v>
      </c>
      <c r="AB1105" s="24">
        <v>0.07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ht="14.25" spans="1:34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0.07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ht="14.25" spans="1:34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0.07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ht="14.25" spans="1:34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0.075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</v>
      </c>
      <c r="X1108" s="32"/>
      <c r="Y1108" s="32">
        <f t="shared" si="113"/>
        <v>136979.525581395</v>
      </c>
      <c r="Z1108" s="32">
        <f t="shared" si="115"/>
        <v>10273.4644186046</v>
      </c>
      <c r="AA1108" s="34">
        <v>0</v>
      </c>
      <c r="AB1108" s="24">
        <v>0.07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ht="14.25" spans="1:34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0.07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ht="14.25" spans="1:34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0.075</v>
      </c>
      <c r="Q1110" s="33" t="s">
        <v>65</v>
      </c>
      <c r="R1110" s="30"/>
      <c r="S1110" s="34">
        <v>71129.2000000002</v>
      </c>
      <c r="T1110" s="34"/>
      <c r="U1110" s="34">
        <v>71129.2000000002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</v>
      </c>
      <c r="AA1110" s="34">
        <v>0</v>
      </c>
      <c r="AB1110" s="24">
        <v>0.07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ht="14.25" spans="1:34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0.07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ht="14.25" spans="1:34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203169.25</v>
      </c>
      <c r="T1112" s="34"/>
      <c r="U1112" s="34">
        <v>203169.25</v>
      </c>
      <c r="V1112" s="32">
        <f t="shared" si="116"/>
        <v>0</v>
      </c>
      <c r="W1112" s="32">
        <f t="shared" si="111"/>
        <v>191669.103773585</v>
      </c>
      <c r="X1112" s="32"/>
      <c r="Y1112" s="32">
        <f t="shared" si="113"/>
        <v>191669.103773585</v>
      </c>
      <c r="Z1112" s="32">
        <f t="shared" si="115"/>
        <v>11500.1462264151</v>
      </c>
      <c r="AA1112" s="34">
        <v>0</v>
      </c>
      <c r="AB1112" s="24">
        <v>0.07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ht="14.25" spans="1:34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129879.27</v>
      </c>
      <c r="V1113" s="32">
        <f t="shared" si="116"/>
        <v>120120.73</v>
      </c>
      <c r="W1113" s="32">
        <f t="shared" si="111"/>
        <v>129879.27</v>
      </c>
      <c r="X1113" s="32"/>
      <c r="Y1113" s="32">
        <f t="shared" si="113"/>
        <v>129879.27</v>
      </c>
      <c r="Z1113" s="32">
        <f t="shared" si="115"/>
        <v>0</v>
      </c>
      <c r="AA1113" s="34">
        <v>333048.52</v>
      </c>
      <c r="AB1113" s="24">
        <v>0.07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ht="14.25" spans="1:34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1579211.94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0.07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ht="14.25" spans="1:34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</v>
      </c>
      <c r="X1115" s="32"/>
      <c r="Y1115" s="32">
        <f t="shared" si="113"/>
        <v>25437.4150943396</v>
      </c>
      <c r="Z1115" s="32">
        <f t="shared" si="115"/>
        <v>1526.24490566038</v>
      </c>
      <c r="AA1115" s="34">
        <v>0</v>
      </c>
      <c r="AB1115" s="24">
        <v>0.07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ht="14.25" spans="1:34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0.07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ht="14.25" spans="1:34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-17100573.55</v>
      </c>
      <c r="T1117" s="34"/>
      <c r="U1117" s="32">
        <v>0</v>
      </c>
      <c r="V1117" s="32">
        <f t="shared" si="116"/>
        <v>-17100573.55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0.07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ht="14.25" spans="1:34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710410.349999999</v>
      </c>
      <c r="V1118" s="32">
        <f t="shared" si="116"/>
        <v>1639589.65</v>
      </c>
      <c r="W1118" s="32">
        <f t="shared" si="117"/>
        <v>710410.349999999</v>
      </c>
      <c r="X1118" s="32"/>
      <c r="Y1118" s="32">
        <f t="shared" si="113"/>
        <v>710410.349999999</v>
      </c>
      <c r="Z1118" s="32">
        <f t="shared" si="115"/>
        <v>0</v>
      </c>
      <c r="AA1118" s="34">
        <v>710410.349999999</v>
      </c>
      <c r="AB1118" s="24">
        <v>0.07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ht="14.25" spans="1:34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</v>
      </c>
      <c r="X1119" s="32"/>
      <c r="Y1119" s="32">
        <f t="shared" si="113"/>
        <v>773746.905660377</v>
      </c>
      <c r="Z1119" s="32">
        <f t="shared" si="115"/>
        <v>46424.8143396226</v>
      </c>
      <c r="AA1119" s="32">
        <v>8765725.29</v>
      </c>
      <c r="AB1119" s="24">
        <v>0.07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ht="14.25" spans="1:34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1541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</v>
      </c>
      <c r="V1120" s="32">
        <f t="shared" si="116"/>
        <v>5674446.43</v>
      </c>
      <c r="W1120" s="32">
        <f t="shared" si="117"/>
        <v>7945553.57</v>
      </c>
      <c r="X1120" s="32"/>
      <c r="Y1120" s="32">
        <f t="shared" si="113"/>
        <v>7945553.57</v>
      </c>
      <c r="Z1120" s="32">
        <f t="shared" si="115"/>
        <v>0</v>
      </c>
      <c r="AA1120" s="34">
        <v>0</v>
      </c>
      <c r="AB1120" s="24">
        <v>0.07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ht="14.25" spans="1:34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0.07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ht="14.25" spans="1:34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ht="14.25" spans="1:34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0.065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ht="14.25" spans="1:34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ht="14.25" spans="1:34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0.065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ht="14.25" spans="1:34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ht="14.25" spans="1:34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0.065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ht="14.25" spans="1:34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143098.3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ht="14.25" spans="1:34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0.065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ht="14.25" spans="1:34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0.07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ht="14.25" spans="1:34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638421.57</v>
      </c>
      <c r="T1131" s="31">
        <v>2363862.93</v>
      </c>
      <c r="U1131" s="32">
        <v>1715312.87</v>
      </c>
      <c r="V1131" s="32">
        <f t="shared" si="119"/>
        <v>1286971.63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0.07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ht="14.25" spans="1:34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</v>
      </c>
      <c r="T1132" s="31"/>
      <c r="U1132" s="32">
        <v>0</v>
      </c>
      <c r="V1132" s="32">
        <f t="shared" si="119"/>
        <v>2380.52000000235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0.07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ht="14.25" spans="1:34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</v>
      </c>
      <c r="T1133" s="31"/>
      <c r="U1133" s="32">
        <v>0</v>
      </c>
      <c r="V1133" s="32">
        <f t="shared" si="119"/>
        <v>39874.98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0.07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ht="14.25" spans="1:34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998626.436893204</v>
      </c>
      <c r="X1134" s="32"/>
      <c r="Y1134" s="32">
        <f t="shared" si="118"/>
        <v>998626.436893204</v>
      </c>
      <c r="Z1134" s="32">
        <f t="shared" si="115"/>
        <v>29958.7931067961</v>
      </c>
      <c r="AA1134" s="34">
        <v>447148.05</v>
      </c>
      <c r="AB1134" s="24">
        <v>0.07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ht="14.25" spans="1:34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</v>
      </c>
      <c r="T1135" s="31">
        <v>-986226.57</v>
      </c>
      <c r="U1135" s="32">
        <v>4574.8</v>
      </c>
      <c r="V1135" s="32">
        <f t="shared" si="119"/>
        <v>1.09412212623283e-9</v>
      </c>
      <c r="W1135" s="32">
        <f t="shared" si="117"/>
        <v>4315.84905660377</v>
      </c>
      <c r="X1135" s="32"/>
      <c r="Y1135" s="32">
        <f t="shared" si="118"/>
        <v>4315.84905660377</v>
      </c>
      <c r="Z1135" s="32">
        <f t="shared" si="115"/>
        <v>258.950943396227</v>
      </c>
      <c r="AA1135" s="31">
        <v>4574.8</v>
      </c>
      <c r="AB1135" s="23">
        <v>0.07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ht="14.25" spans="1:34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0.07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ht="14.25" spans="1:34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0.07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ht="14.25" spans="1:34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0.07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ht="14.25" spans="1:34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79302.46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ht="14.25" spans="1:34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</v>
      </c>
      <c r="V1140" s="32">
        <f t="shared" si="119"/>
        <v>-4432.31</v>
      </c>
      <c r="W1140" s="32">
        <f t="shared" si="117"/>
        <v>4432.31</v>
      </c>
      <c r="X1140" s="32"/>
      <c r="Y1140" s="32">
        <f t="shared" si="118"/>
        <v>4432.31</v>
      </c>
      <c r="Z1140" s="32">
        <f t="shared" si="115"/>
        <v>0</v>
      </c>
      <c r="AA1140" s="31">
        <v>4432.31</v>
      </c>
      <c r="AB1140" s="23">
        <v>0.065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ht="14.25" spans="1:34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</v>
      </c>
      <c r="T1141" s="31"/>
      <c r="U1141" s="32">
        <v>0</v>
      </c>
      <c r="V1141" s="32">
        <f t="shared" si="119"/>
        <v>991.679999999993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0.07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ht="14.25" spans="1:34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</v>
      </c>
      <c r="T1142" s="31">
        <v>8569685.08</v>
      </c>
      <c r="U1142" s="32">
        <v>7018072.45</v>
      </c>
      <c r="V1142" s="32">
        <f t="shared" si="119"/>
        <v>2205451.3</v>
      </c>
      <c r="W1142" s="32">
        <f t="shared" si="117"/>
        <v>6813662.57281553</v>
      </c>
      <c r="X1142" s="32"/>
      <c r="Y1142" s="32">
        <f t="shared" si="118"/>
        <v>6813662.57281553</v>
      </c>
      <c r="Z1142" s="32">
        <f t="shared" si="115"/>
        <v>204409.877184466</v>
      </c>
      <c r="AA1142" s="31">
        <v>7018072.45</v>
      </c>
      <c r="AB1142" s="23">
        <v>0.07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ht="14.25" spans="1:34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0.07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ht="14.25" spans="1:34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0.07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ht="14.25" spans="1:34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2517451.55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0.07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ht="14.25" spans="1:34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43</v>
      </c>
      <c r="P1146" s="24">
        <v>0.06</v>
      </c>
      <c r="Q1146" s="33" t="s">
        <v>65</v>
      </c>
      <c r="R1146" s="30"/>
      <c r="S1146" s="34">
        <v>263286.89</v>
      </c>
      <c r="T1146" s="34"/>
      <c r="U1146" s="34">
        <v>263286.89</v>
      </c>
      <c r="V1146" s="32">
        <f t="shared" si="119"/>
        <v>0</v>
      </c>
      <c r="W1146" s="32">
        <f t="shared" si="117"/>
        <v>248383.858490566</v>
      </c>
      <c r="X1146" s="32"/>
      <c r="Y1146" s="32">
        <f t="shared" si="118"/>
        <v>248383.858490566</v>
      </c>
      <c r="Z1146" s="32">
        <f t="shared" si="115"/>
        <v>14903.031509434</v>
      </c>
      <c r="AA1146" s="34">
        <v>451901.83</v>
      </c>
      <c r="AB1146" s="24">
        <v>0.07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ht="14.25" spans="1:34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214883.24</v>
      </c>
      <c r="V1147" s="32">
        <f t="shared" si="119"/>
        <v>315116.76</v>
      </c>
      <c r="W1147" s="32">
        <f t="shared" si="117"/>
        <v>214883.24</v>
      </c>
      <c r="X1147" s="32"/>
      <c r="Y1147" s="32">
        <f t="shared" si="118"/>
        <v>214883.24</v>
      </c>
      <c r="Z1147" s="32">
        <f t="shared" si="115"/>
        <v>0</v>
      </c>
      <c r="AA1147" s="34">
        <v>26268.3</v>
      </c>
      <c r="AB1147" s="24">
        <v>0.07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ht="14.25" spans="1:34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</v>
      </c>
      <c r="X1148" s="32"/>
      <c r="Y1148" s="32">
        <f t="shared" si="118"/>
        <v>108741.009433962</v>
      </c>
      <c r="Z1148" s="32">
        <f t="shared" si="115"/>
        <v>6524.46056603774</v>
      </c>
      <c r="AA1148" s="34">
        <v>0</v>
      </c>
      <c r="AB1148" s="24">
        <v>0.07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ht="14.25" spans="1:34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0.07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ht="14.25" spans="1:34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557678.807692308</v>
      </c>
      <c r="X1150" s="32"/>
      <c r="Y1150" s="32">
        <f t="shared" si="118"/>
        <v>557678.807692308</v>
      </c>
      <c r="Z1150" s="32">
        <f t="shared" si="115"/>
        <v>22307.1523076923</v>
      </c>
      <c r="AA1150" s="34">
        <v>1136579.51</v>
      </c>
      <c r="AB1150" s="24">
        <v>0.07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ht="14.25" spans="1:34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</v>
      </c>
      <c r="T1151" s="34"/>
      <c r="U1151" s="32">
        <v>556593.55</v>
      </c>
      <c r="V1151" s="32">
        <f t="shared" si="119"/>
        <v>0</v>
      </c>
      <c r="W1151" s="32">
        <f t="shared" si="117"/>
        <v>515364.398148148</v>
      </c>
      <c r="X1151" s="32"/>
      <c r="Y1151" s="32">
        <f t="shared" si="118"/>
        <v>515364.398148148</v>
      </c>
      <c r="Z1151" s="32">
        <f t="shared" si="115"/>
        <v>41229.1518518519</v>
      </c>
      <c r="AA1151" s="34">
        <v>0</v>
      </c>
      <c r="AB1151" s="24">
        <v>0.07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ht="14.25" spans="1:34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23015376.61</v>
      </c>
      <c r="V1152" s="32">
        <f t="shared" si="119"/>
        <v>9228805.93</v>
      </c>
      <c r="W1152" s="32">
        <f t="shared" si="117"/>
        <v>23015376.61</v>
      </c>
      <c r="X1152" s="32"/>
      <c r="Y1152" s="32">
        <f t="shared" si="118"/>
        <v>23015376.61</v>
      </c>
      <c r="Z1152" s="32">
        <f t="shared" si="115"/>
        <v>0</v>
      </c>
      <c r="AA1152" s="34">
        <v>23015376.61</v>
      </c>
      <c r="AB1152" s="24">
        <v>0.07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ht="14.25" spans="1:34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ht="14.25" spans="1:34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19861.62</v>
      </c>
      <c r="W1154" s="32">
        <f t="shared" si="117"/>
        <v>195867.981132075</v>
      </c>
      <c r="X1154" s="32"/>
      <c r="Y1154" s="32">
        <f t="shared" si="118"/>
        <v>195867.981132075</v>
      </c>
      <c r="Z1154" s="32">
        <f t="shared" si="115"/>
        <v>11752.0788679245</v>
      </c>
      <c r="AA1154" s="34">
        <v>0</v>
      </c>
      <c r="AB1154" s="24">
        <v>0.07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ht="14.25" spans="1:34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0.07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ht="14.25" spans="1:34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ht="14.25" spans="1:34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ht="14.25" spans="1:34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ht="14.25" spans="1:34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1583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43</v>
      </c>
      <c r="P1159" s="24">
        <v>0.06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560571.70754717</v>
      </c>
      <c r="X1159" s="32"/>
      <c r="Y1159" s="32">
        <f t="shared" si="118"/>
        <v>560571.70754717</v>
      </c>
      <c r="Z1159" s="32">
        <f t="shared" si="120"/>
        <v>33634.3024528302</v>
      </c>
      <c r="AA1159" s="32">
        <v>23952157.08</v>
      </c>
      <c r="AB1159" s="24">
        <v>0.07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ht="14.25" spans="1:34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0.07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ht="14.25" spans="1:34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</v>
      </c>
      <c r="T1161" s="34"/>
      <c r="U1161" s="34">
        <v>469051.540000001</v>
      </c>
      <c r="V1161" s="32">
        <f t="shared" si="119"/>
        <v>0</v>
      </c>
      <c r="W1161" s="32">
        <f t="shared" si="117"/>
        <v>446715.752380953</v>
      </c>
      <c r="X1161" s="32"/>
      <c r="Y1161" s="32">
        <f t="shared" si="118"/>
        <v>446715.752380953</v>
      </c>
      <c r="Z1161" s="32">
        <f t="shared" si="120"/>
        <v>22335.7876190477</v>
      </c>
      <c r="AA1161" s="34">
        <v>0</v>
      </c>
      <c r="AB1161" s="24">
        <v>0.07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ht="14.25" spans="1:34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17503337.9</v>
      </c>
      <c r="V1162" s="32">
        <f t="shared" si="119"/>
        <v>5991662.1</v>
      </c>
      <c r="W1162" s="32">
        <f t="shared" si="117"/>
        <v>17503337.9</v>
      </c>
      <c r="X1162" s="32"/>
      <c r="Y1162" s="32">
        <f t="shared" si="118"/>
        <v>17503337.9</v>
      </c>
      <c r="Z1162" s="32">
        <f t="shared" si="120"/>
        <v>0</v>
      </c>
      <c r="AA1162" s="34">
        <v>17972389.44</v>
      </c>
      <c r="AB1162" s="24">
        <v>0.07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ht="14.25" spans="1:34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1587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0.07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ht="14.25" spans="1:34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1588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6599133.22</v>
      </c>
      <c r="V1164" s="32">
        <f t="shared" si="119"/>
        <v>1909106.78</v>
      </c>
      <c r="W1164" s="32">
        <f t="shared" si="117"/>
        <v>6345320.40384615</v>
      </c>
      <c r="X1164" s="32"/>
      <c r="Y1164" s="32">
        <f t="shared" si="118"/>
        <v>6345320.40384615</v>
      </c>
      <c r="Z1164" s="32">
        <f t="shared" si="120"/>
        <v>253812.816153847</v>
      </c>
      <c r="AA1164" s="34">
        <v>6810286.48</v>
      </c>
      <c r="AB1164" s="24">
        <v>0.07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ht="14.25" spans="1:34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1589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0.07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ht="14.25" spans="1:34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1589</v>
      </c>
      <c r="F1166" s="20" t="s">
        <v>1589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0.085</v>
      </c>
      <c r="Q1166" s="33" t="s">
        <v>65</v>
      </c>
      <c r="R1166" s="30"/>
      <c r="S1166" s="34">
        <v>211153.26</v>
      </c>
      <c r="T1166" s="34"/>
      <c r="U1166" s="34">
        <v>211153.26</v>
      </c>
      <c r="V1166" s="32">
        <f t="shared" si="119"/>
        <v>0</v>
      </c>
      <c r="W1166" s="32">
        <f t="shared" si="117"/>
        <v>194611.299539171</v>
      </c>
      <c r="X1166" s="32"/>
      <c r="Y1166" s="32">
        <f t="shared" si="118"/>
        <v>194611.299539171</v>
      </c>
      <c r="Z1166" s="32">
        <f t="shared" si="120"/>
        <v>16541.9604608295</v>
      </c>
      <c r="AA1166" s="34">
        <v>0</v>
      </c>
      <c r="AB1166" s="24">
        <v>0.07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ht="14.25" spans="1:34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1590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219344.561904762</v>
      </c>
      <c r="X1167" s="32"/>
      <c r="Y1167" s="32">
        <f t="shared" si="118"/>
        <v>219344.561904762</v>
      </c>
      <c r="Z1167" s="32">
        <f t="shared" si="120"/>
        <v>10967.2280952381</v>
      </c>
      <c r="AA1167" s="34">
        <v>1026993.04</v>
      </c>
      <c r="AB1167" s="24">
        <v>0.07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ht="14.25" spans="1:34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1591</v>
      </c>
      <c r="F1168" s="20" t="s">
        <v>1592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0.07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</v>
      </c>
      <c r="X1168" s="32"/>
      <c r="Y1168" s="32">
        <f t="shared" si="118"/>
        <v>189817.289719626</v>
      </c>
      <c r="Z1168" s="32">
        <f t="shared" si="120"/>
        <v>13287.2102803738</v>
      </c>
      <c r="AA1168" s="34">
        <v>0</v>
      </c>
      <c r="AB1168" s="24">
        <v>0.07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ht="14.25" spans="1:34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1591</v>
      </c>
      <c r="F1169" s="20" t="s">
        <v>1592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0.07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ht="14.25" spans="1:34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1593</v>
      </c>
      <c r="F1170" s="20" t="s">
        <v>1594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296449.773584906</v>
      </c>
      <c r="X1170" s="32"/>
      <c r="Y1170" s="32">
        <f t="shared" si="118"/>
        <v>296449.773584906</v>
      </c>
      <c r="Z1170" s="32">
        <f t="shared" si="120"/>
        <v>17786.9864150943</v>
      </c>
      <c r="AA1170" s="34">
        <v>0</v>
      </c>
      <c r="AB1170" s="24">
        <v>0.07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ht="14.25" spans="1:34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1593</v>
      </c>
      <c r="F1171" s="20" t="s">
        <v>1594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322634.03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0.07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ht="14.25" spans="1:34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1595</v>
      </c>
      <c r="F1172" s="20" t="s">
        <v>1596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0.07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ht="14.25" spans="1:34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1597</v>
      </c>
      <c r="F1173" s="20" t="s">
        <v>1597</v>
      </c>
      <c r="G1173" s="20" t="s">
        <v>1597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ht="14.25" spans="1:34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1597</v>
      </c>
      <c r="F1174" s="20" t="s">
        <v>1597</v>
      </c>
      <c r="G1174" s="20" t="s">
        <v>1597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ht="14.25" spans="1:34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1597</v>
      </c>
      <c r="F1175" s="20" t="s">
        <v>1597</v>
      </c>
      <c r="G1175" s="20" t="s">
        <v>1597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ht="14.25" spans="1:34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1597</v>
      </c>
      <c r="F1176" s="20" t="s">
        <v>1597</v>
      </c>
      <c r="G1176" s="20" t="s">
        <v>1597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0.065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ht="14.25" spans="1:34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1597</v>
      </c>
      <c r="F1177" s="20" t="s">
        <v>1597</v>
      </c>
      <c r="G1177" s="20" t="s">
        <v>1597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</v>
      </c>
      <c r="V1177" s="32">
        <f t="shared" si="121"/>
        <v>10266.2</v>
      </c>
      <c r="W1177" s="32">
        <f t="shared" si="117"/>
        <v>39733.8</v>
      </c>
      <c r="X1177" s="32"/>
      <c r="Y1177" s="32">
        <f t="shared" si="118"/>
        <v>39733.8</v>
      </c>
      <c r="Z1177" s="32">
        <f t="shared" si="120"/>
        <v>0</v>
      </c>
      <c r="AA1177" s="31">
        <v>39733.8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ht="14.25" spans="1:34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1598</v>
      </c>
      <c r="F1178" s="20" t="s">
        <v>1599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</v>
      </c>
      <c r="X1178" s="32"/>
      <c r="Y1178" s="32">
        <f t="shared" si="118"/>
        <v>60896.2038834951</v>
      </c>
      <c r="Z1178" s="32">
        <f t="shared" si="120"/>
        <v>1826.88611650486</v>
      </c>
      <c r="AA1178" s="34">
        <v>807208.53</v>
      </c>
      <c r="AB1178" s="24">
        <v>0.07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ht="14.25" spans="1:34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1598</v>
      </c>
      <c r="F1179" s="20" t="s">
        <v>1598</v>
      </c>
      <c r="G1179" s="20" t="s">
        <v>1598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0.07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ht="14.25" spans="1:34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1600</v>
      </c>
      <c r="F1180" s="20" t="s">
        <v>1600</v>
      </c>
      <c r="G1180" s="20" t="s">
        <v>1600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0.085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</v>
      </c>
      <c r="X1180" s="32"/>
      <c r="Y1180" s="32">
        <f t="shared" si="118"/>
        <v>1911457.96313364</v>
      </c>
      <c r="Z1180" s="32">
        <f t="shared" si="120"/>
        <v>162473.926866359</v>
      </c>
      <c r="AA1180" s="34">
        <v>0</v>
      </c>
      <c r="AB1180" s="24">
        <v>0.07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ht="14.25" spans="1:34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1600</v>
      </c>
      <c r="F1181" s="20" t="s">
        <v>1600</v>
      </c>
      <c r="G1181" s="20" t="s">
        <v>1600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</v>
      </c>
      <c r="V1181" s="32">
        <f t="shared" si="121"/>
        <v>2879396.12999999</v>
      </c>
      <c r="W1181" s="32">
        <f t="shared" si="122"/>
        <v>6875603.87000001</v>
      </c>
      <c r="X1181" s="32"/>
      <c r="Y1181" s="32">
        <f t="shared" si="118"/>
        <v>6875603.87000001</v>
      </c>
      <c r="Z1181" s="32">
        <f t="shared" si="120"/>
        <v>0</v>
      </c>
      <c r="AA1181" s="34">
        <v>8949535.76000001</v>
      </c>
      <c r="AB1181" s="24">
        <v>0.07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ht="14.25" spans="1:34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1601</v>
      </c>
      <c r="F1182" s="20" t="s">
        <v>1601</v>
      </c>
      <c r="G1182" s="20" t="s">
        <v>1601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0.07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ht="14.25" spans="1:34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ht="14.25" spans="1:34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ht="14.25" spans="1:34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39708.52</v>
      </c>
      <c r="V1185" s="32">
        <f t="shared" si="121"/>
        <v>20291.48</v>
      </c>
      <c r="W1185" s="32">
        <f t="shared" si="122"/>
        <v>39708.52</v>
      </c>
      <c r="X1185" s="32"/>
      <c r="Y1185" s="32">
        <f t="shared" ref="Y1185:Y1241" si="123">W1185+X1185</f>
        <v>39708.52</v>
      </c>
      <c r="Z1185" s="32">
        <f t="shared" si="120"/>
        <v>0</v>
      </c>
      <c r="AA1185" s="31">
        <v>39708.52</v>
      </c>
      <c r="AB1185" s="23">
        <v>0.065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ht="14.25" spans="1:34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1602</v>
      </c>
      <c r="F1186" s="20" t="s">
        <v>1602</v>
      </c>
      <c r="G1186" s="20" t="s">
        <v>1602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3180000</v>
      </c>
      <c r="T1186" s="31">
        <v>45235.18</v>
      </c>
      <c r="U1186" s="32">
        <v>0</v>
      </c>
      <c r="V1186" s="32">
        <f t="shared" si="121"/>
        <v>3225235.18</v>
      </c>
      <c r="W1186" s="32">
        <f t="shared" si="122"/>
        <v>0</v>
      </c>
      <c r="X1186" s="32"/>
      <c r="Y1186" s="32">
        <f t="shared" si="123"/>
        <v>0</v>
      </c>
      <c r="Z1186" s="32">
        <f t="shared" si="120"/>
        <v>0</v>
      </c>
      <c r="AA1186" s="31">
        <v>0</v>
      </c>
      <c r="AB1186" s="23">
        <v>0.07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ht="14.25" spans="1:34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1603</v>
      </c>
      <c r="F1187" s="20" t="s">
        <v>1603</v>
      </c>
      <c r="G1187" s="20" t="s">
        <v>1603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1604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ht="14.25" spans="1:34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1603</v>
      </c>
      <c r="F1188" s="20" t="s">
        <v>1603</v>
      </c>
      <c r="G1188" s="20" t="s">
        <v>1603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1604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0.065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ht="14.25" spans="1:34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1603</v>
      </c>
      <c r="F1189" s="20" t="s">
        <v>1603</v>
      </c>
      <c r="G1189" s="20" t="s">
        <v>1603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1605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ht="14.25" spans="1:34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1603</v>
      </c>
      <c r="F1190" s="20" t="s">
        <v>1603</v>
      </c>
      <c r="G1190" s="20" t="s">
        <v>1603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ht="14.25" spans="1:34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1606</v>
      </c>
      <c r="F1191" s="20" t="s">
        <v>1606</v>
      </c>
      <c r="G1191" s="20" t="s">
        <v>1606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0.07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ht="14.25" spans="1:34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1607</v>
      </c>
      <c r="F1192" s="20" t="s">
        <v>1608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0.07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ht="14.25" spans="1:34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1609</v>
      </c>
      <c r="F1193" s="20" t="s">
        <v>1610</v>
      </c>
      <c r="G1193" s="20" t="s">
        <v>1609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0.085</v>
      </c>
      <c r="Q1193" s="29" t="s">
        <v>65</v>
      </c>
      <c r="R1193" s="30"/>
      <c r="S1193" s="31">
        <v>966061.069999999</v>
      </c>
      <c r="T1193" s="31">
        <v>5012800</v>
      </c>
      <c r="U1193" s="32">
        <v>2645891.16</v>
      </c>
      <c r="V1193" s="32">
        <f t="shared" si="121"/>
        <v>3332969.91</v>
      </c>
      <c r="W1193" s="32">
        <f t="shared" si="122"/>
        <v>2438609.3640553</v>
      </c>
      <c r="X1193" s="32"/>
      <c r="Y1193" s="32">
        <f t="shared" si="123"/>
        <v>2438609.3640553</v>
      </c>
      <c r="Z1193" s="32">
        <f t="shared" si="120"/>
        <v>207281.7959447</v>
      </c>
      <c r="AA1193" s="31">
        <v>2645891.16</v>
      </c>
      <c r="AB1193" s="23">
        <v>0.07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ht="14.25" spans="1:34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1611</v>
      </c>
      <c r="F1194" s="20" t="s">
        <v>1611</v>
      </c>
      <c r="G1194" s="20" t="s">
        <v>1611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1612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ht="14.25" spans="1:34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1611</v>
      </c>
      <c r="F1195" s="20" t="s">
        <v>1611</v>
      </c>
      <c r="G1195" s="20" t="s">
        <v>1611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1612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0.065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ht="14.25" spans="1:34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1613</v>
      </c>
      <c r="F1196" s="20" t="s">
        <v>1613</v>
      </c>
      <c r="G1196" s="20" t="s">
        <v>1613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</v>
      </c>
      <c r="W1196" s="32">
        <f t="shared" si="122"/>
        <v>20654.8640776699</v>
      </c>
      <c r="X1196" s="32"/>
      <c r="Y1196" s="32">
        <f t="shared" si="123"/>
        <v>20654.8640776699</v>
      </c>
      <c r="Z1196" s="32">
        <f t="shared" si="120"/>
        <v>619.645922330099</v>
      </c>
      <c r="AA1196" s="31">
        <v>21274.51</v>
      </c>
      <c r="AB1196" s="23">
        <v>0.07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ht="14.25" spans="1:34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1614</v>
      </c>
      <c r="F1197" s="20" t="s">
        <v>1614</v>
      </c>
      <c r="G1197" s="20" t="s">
        <v>1614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1614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ht="14.25" spans="1:34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1615</v>
      </c>
      <c r="F1198" s="20" t="s">
        <v>1615</v>
      </c>
      <c r="G1198" s="20" t="s">
        <v>1615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1616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</v>
      </c>
      <c r="X1198" s="32"/>
      <c r="Y1198" s="32">
        <f t="shared" si="123"/>
        <v>-25.925</v>
      </c>
      <c r="Z1198" s="32">
        <f t="shared" si="120"/>
        <v>-4.575</v>
      </c>
      <c r="AA1198" s="31">
        <v>0</v>
      </c>
      <c r="AB1198" s="23">
        <v>0.165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ht="14.25" spans="1:34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1615</v>
      </c>
      <c r="F1199" s="20" t="s">
        <v>1615</v>
      </c>
      <c r="G1199" s="20" t="s">
        <v>1615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1616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</v>
      </c>
      <c r="AA1199" s="31">
        <v>0</v>
      </c>
      <c r="AB1199" s="23">
        <v>0.165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ht="14.25" spans="1:34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1615</v>
      </c>
      <c r="F1200" s="20" t="s">
        <v>1615</v>
      </c>
      <c r="G1200" s="20" t="s">
        <v>1615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1617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ht="14.25" spans="1:34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1615</v>
      </c>
      <c r="F1201" s="20" t="s">
        <v>1615</v>
      </c>
      <c r="G1201" s="20" t="s">
        <v>1615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1618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ht="14.25" spans="1:34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1615</v>
      </c>
      <c r="F1202" s="20" t="s">
        <v>1615</v>
      </c>
      <c r="G1202" s="20" t="s">
        <v>1615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1619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ht="14.25" spans="1:34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1615</v>
      </c>
      <c r="F1203" s="20" t="s">
        <v>1615</v>
      </c>
      <c r="G1203" s="20" t="s">
        <v>1615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1620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ht="14.25" spans="1:34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1615</v>
      </c>
      <c r="F1204" s="20" t="s">
        <v>1615</v>
      </c>
      <c r="G1204" s="20" t="s">
        <v>1615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1621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ht="14.25" spans="1:34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1615</v>
      </c>
      <c r="F1205" s="20" t="s">
        <v>1615</v>
      </c>
      <c r="G1205" s="20" t="s">
        <v>1615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1622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</v>
      </c>
      <c r="AA1205" s="31">
        <v>0</v>
      </c>
      <c r="AB1205" s="23">
        <v>0.165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ht="14.25" spans="1:34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1615</v>
      </c>
      <c r="F1206" s="20" t="s">
        <v>1615</v>
      </c>
      <c r="G1206" s="20" t="s">
        <v>1615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1622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1199.4</v>
      </c>
      <c r="AA1206" s="31">
        <v>0</v>
      </c>
      <c r="AB1206" s="23">
        <v>0.165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ht="14.25" spans="1:34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1615</v>
      </c>
      <c r="F1207" s="20" t="s">
        <v>1615</v>
      </c>
      <c r="G1207" s="20" t="s">
        <v>1615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1623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-20551.0875</v>
      </c>
      <c r="X1207" s="32"/>
      <c r="Y1207" s="32">
        <f t="shared" si="123"/>
        <v>-20551.0875</v>
      </c>
      <c r="Z1207" s="32">
        <f t="shared" si="120"/>
        <v>-3626.6625</v>
      </c>
      <c r="AA1207" s="31">
        <v>0</v>
      </c>
      <c r="AB1207" s="23">
        <v>0.165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ht="14.25" spans="1:34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1615</v>
      </c>
      <c r="F1208" s="20" t="s">
        <v>1615</v>
      </c>
      <c r="G1208" s="20" t="s">
        <v>1615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1623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</v>
      </c>
      <c r="X1208" s="32"/>
      <c r="Y1208" s="32">
        <f t="shared" si="123"/>
        <v>21759.975</v>
      </c>
      <c r="Z1208" s="32">
        <f t="shared" si="120"/>
        <v>2417.775</v>
      </c>
      <c r="AA1208" s="31">
        <v>0</v>
      </c>
      <c r="AB1208" s="23">
        <v>0.165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ht="14.25" spans="1:34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1615</v>
      </c>
      <c r="F1209" s="20" t="s">
        <v>1615</v>
      </c>
      <c r="G1209" s="20" t="s">
        <v>1615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1624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-2216.2</v>
      </c>
      <c r="U1209" s="31">
        <v>-2216.2</v>
      </c>
      <c r="V1209" s="32">
        <f t="shared" si="124"/>
        <v>0</v>
      </c>
      <c r="W1209" s="32">
        <f t="shared" si="122"/>
        <v>-1883.77</v>
      </c>
      <c r="X1209" s="32"/>
      <c r="Y1209" s="32">
        <f t="shared" si="123"/>
        <v>-1883.77</v>
      </c>
      <c r="Z1209" s="32">
        <f t="shared" si="120"/>
        <v>-332.43</v>
      </c>
      <c r="AA1209" s="31">
        <v>0</v>
      </c>
      <c r="AB1209" s="23">
        <v>0.165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ht="14.25" spans="1:34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1615</v>
      </c>
      <c r="F1210" s="20" t="s">
        <v>1615</v>
      </c>
      <c r="G1210" s="20" t="s">
        <v>1615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1624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2216.2</v>
      </c>
      <c r="T1210" s="31"/>
      <c r="U1210" s="31">
        <v>2216.2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221.62</v>
      </c>
      <c r="AA1210" s="31">
        <v>0</v>
      </c>
      <c r="AB1210" s="23">
        <v>0.165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ht="14.25" spans="1:34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1615</v>
      </c>
      <c r="F1211" s="20" t="s">
        <v>1615</v>
      </c>
      <c r="G1211" s="20" t="s">
        <v>1615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1625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ht="14.25" spans="1:34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1615</v>
      </c>
      <c r="F1212" s="20" t="s">
        <v>1615</v>
      </c>
      <c r="G1212" s="20" t="s">
        <v>1615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1626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-1963.32</v>
      </c>
      <c r="AA1212" s="31">
        <v>0</v>
      </c>
      <c r="AB1212" s="23">
        <v>0.165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ht="14.25" spans="1:34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1615</v>
      </c>
      <c r="F1213" s="20" t="s">
        <v>1615</v>
      </c>
      <c r="G1213" s="20" t="s">
        <v>1615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1626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1308.88</v>
      </c>
      <c r="AA1213" s="31">
        <v>0</v>
      </c>
      <c r="AB1213" s="23">
        <v>0.165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ht="14.25" spans="1:34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1615</v>
      </c>
      <c r="F1214" s="20" t="s">
        <v>1615</v>
      </c>
      <c r="G1214" s="20" t="s">
        <v>1615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1627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ht="14.25" spans="1:34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1615</v>
      </c>
      <c r="F1215" s="20" t="s">
        <v>1615</v>
      </c>
      <c r="G1215" s="20" t="s">
        <v>1615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1627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33651.6</v>
      </c>
      <c r="V1215" s="32">
        <f t="shared" si="124"/>
        <v>15356.3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33651.6</v>
      </c>
      <c r="AB1215" s="23">
        <v>0.165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ht="14.25" spans="1:34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1615</v>
      </c>
      <c r="F1216" s="20" t="s">
        <v>1615</v>
      </c>
      <c r="G1216" s="20" t="s">
        <v>1615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1628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ht="14.25" spans="1:34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1615</v>
      </c>
      <c r="F1217" s="20" t="s">
        <v>1615</v>
      </c>
      <c r="G1217" s="20" t="s">
        <v>1615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1628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1427.614</v>
      </c>
      <c r="AA1217" s="31">
        <v>14276.14</v>
      </c>
      <c r="AB1217" s="23">
        <v>0.165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ht="14.25" spans="1:34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1615</v>
      </c>
      <c r="F1218" s="20" t="s">
        <v>1615</v>
      </c>
      <c r="G1218" s="20" t="s">
        <v>1615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1629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ht="14.25" spans="1:34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1615</v>
      </c>
      <c r="F1219" s="20" t="s">
        <v>1615</v>
      </c>
      <c r="G1219" s="20" t="s">
        <v>1615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1630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ht="14.25" spans="1:34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1615</v>
      </c>
      <c r="F1220" s="20" t="s">
        <v>1615</v>
      </c>
      <c r="G1220" s="20" t="s">
        <v>1615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1630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17116.23</v>
      </c>
      <c r="W1220" s="32">
        <f t="shared" si="122"/>
        <v>39049.794</v>
      </c>
      <c r="X1220" s="32"/>
      <c r="Y1220" s="32">
        <f t="shared" si="123"/>
        <v>39049.794</v>
      </c>
      <c r="Z1220" s="32">
        <f t="shared" si="120"/>
        <v>4338.866</v>
      </c>
      <c r="AA1220" s="31">
        <v>43388.66</v>
      </c>
      <c r="AB1220" s="23">
        <v>0.165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ht="14.25" spans="1:34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1615</v>
      </c>
      <c r="F1221" s="20" t="s">
        <v>1615</v>
      </c>
      <c r="G1221" s="20" t="s">
        <v>1615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1631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ht="14.25" spans="1:34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1615</v>
      </c>
      <c r="F1222" s="20" t="s">
        <v>1615</v>
      </c>
      <c r="G1222" s="20" t="s">
        <v>1615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1631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21500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5285.16</v>
      </c>
      <c r="AA1222" s="31">
        <v>52851.6</v>
      </c>
      <c r="AB1222" s="23">
        <v>0.165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ht="14.25" spans="1:34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1615</v>
      </c>
      <c r="F1223" s="20" t="s">
        <v>1615</v>
      </c>
      <c r="G1223" s="20" t="s">
        <v>1615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1632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ht="14.25" spans="1:34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1615</v>
      </c>
      <c r="F1224" s="20" t="s">
        <v>1615</v>
      </c>
      <c r="G1224" s="20" t="s">
        <v>1615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1632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ht="14.25" spans="1:34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1615</v>
      </c>
      <c r="F1225" s="20" t="s">
        <v>1615</v>
      </c>
      <c r="G1225" s="20" t="s">
        <v>1615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1633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ht="14.25" spans="1:34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1634</v>
      </c>
      <c r="F1226" s="20" t="s">
        <v>1634</v>
      </c>
      <c r="G1226" s="20" t="s">
        <v>1634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1634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ht="14.25" spans="1:34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40365.27</v>
      </c>
      <c r="V1227" s="32">
        <f t="shared" si="126"/>
        <v>15634.73</v>
      </c>
      <c r="W1227" s="32">
        <f t="shared" si="122"/>
        <v>39573.7941176471</v>
      </c>
      <c r="X1227" s="32"/>
      <c r="Y1227" s="32">
        <f t="shared" si="123"/>
        <v>39573.7941176471</v>
      </c>
      <c r="Z1227" s="32">
        <f t="shared" si="125"/>
        <v>791.475882352941</v>
      </c>
      <c r="AA1227" s="31">
        <v>0</v>
      </c>
      <c r="AB1227" s="23">
        <v>0.165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ht="14.25" spans="1:34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1635</v>
      </c>
      <c r="F1228" s="20" t="s">
        <v>1635</v>
      </c>
      <c r="G1228" s="20" t="s">
        <v>1635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1635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14989.1</v>
      </c>
      <c r="T1228" s="31"/>
      <c r="U1228" s="32">
        <v>0</v>
      </c>
      <c r="V1228" s="32">
        <f t="shared" si="126"/>
        <v>14989.1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ht="14.25" spans="1:34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1636</v>
      </c>
      <c r="F1229" s="20" t="s">
        <v>1637</v>
      </c>
      <c r="G1229" s="20" t="s">
        <v>1636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1638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ht="14.25" spans="1:34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1639</v>
      </c>
      <c r="F1230" s="20" t="s">
        <v>1640</v>
      </c>
      <c r="G1230" s="20" t="s">
        <v>1639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1641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ht="14.25" spans="1:34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1642</v>
      </c>
      <c r="F1231" s="20" t="s">
        <v>1642</v>
      </c>
      <c r="G1231" s="20" t="s">
        <v>1642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1642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ht="14.25" spans="1:34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1643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ht="14.25" spans="1:34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1643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ht="14.25" spans="1:34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1643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1644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1233.1</v>
      </c>
      <c r="V1234" s="32">
        <f t="shared" si="127"/>
        <v>4257.8</v>
      </c>
      <c r="W1234" s="32">
        <f t="shared" si="122"/>
        <v>1233.1</v>
      </c>
      <c r="X1234" s="32"/>
      <c r="Y1234" s="32">
        <f t="shared" si="123"/>
        <v>1233.1</v>
      </c>
      <c r="Z1234" s="32">
        <f t="shared" si="125"/>
        <v>0</v>
      </c>
      <c r="AA1234" s="31">
        <v>1233.1</v>
      </c>
      <c r="AB1234" s="23">
        <v>0.165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ht="14.25" spans="1:34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1645</v>
      </c>
      <c r="F1235" s="20" t="s">
        <v>1645</v>
      </c>
      <c r="G1235" s="20" t="s">
        <v>1645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1645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5.1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ht="14.25" spans="1:34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1646</v>
      </c>
      <c r="F1236" s="20" t="s">
        <v>1646</v>
      </c>
      <c r="G1236" s="20" t="s">
        <v>1646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1646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5631.27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ht="14.25" spans="1:34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1647</v>
      </c>
      <c r="F1237" s="20" t="s">
        <v>1647</v>
      </c>
      <c r="G1237" s="20" t="s">
        <v>1647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1648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123392.55</v>
      </c>
      <c r="W1237" s="32">
        <f t="shared" si="122"/>
        <v>459026.911764706</v>
      </c>
      <c r="X1237" s="32"/>
      <c r="Y1237" s="32">
        <f t="shared" si="123"/>
        <v>459026.911764706</v>
      </c>
      <c r="Z1237" s="32">
        <f t="shared" si="125"/>
        <v>9180.53823529411</v>
      </c>
      <c r="AA1237" s="31">
        <v>468207.45</v>
      </c>
      <c r="AB1237" s="23">
        <v>0.165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ht="14.25" spans="1:34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1649</v>
      </c>
      <c r="F1238" s="20" t="s">
        <v>1649</v>
      </c>
      <c r="G1238" s="20" t="s">
        <v>1649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1649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ht="14.25" spans="1:34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1649</v>
      </c>
      <c r="F1239" s="20" t="s">
        <v>1649</v>
      </c>
      <c r="G1239" s="20" t="s">
        <v>1649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1649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4815.45098039216</v>
      </c>
      <c r="X1239" s="32"/>
      <c r="Y1239" s="32">
        <f t="shared" si="123"/>
        <v>4815.45098039216</v>
      </c>
      <c r="Z1239" s="32">
        <f t="shared" si="125"/>
        <v>96.3090196078429</v>
      </c>
      <c r="AA1239" s="31">
        <v>28798.66</v>
      </c>
      <c r="AB1239" s="23">
        <v>0.165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ht="14.25" spans="1:34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1649</v>
      </c>
      <c r="F1240" s="20" t="s">
        <v>1649</v>
      </c>
      <c r="G1240" s="20" t="s">
        <v>1649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1649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3113.1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ht="14.25" spans="1:34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1650</v>
      </c>
      <c r="F1241" s="20" t="s">
        <v>1650</v>
      </c>
      <c r="G1241" s="20" t="s">
        <v>1650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1650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ht="14.25" spans="1:34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1651</v>
      </c>
      <c r="F1242" s="20" t="s">
        <v>1651</v>
      </c>
      <c r="G1242" s="20" t="s">
        <v>1651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1652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ht="14.25" spans="1:34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1653</v>
      </c>
      <c r="F1243" s="20" t="s">
        <v>1654</v>
      </c>
      <c r="G1243" s="20" t="s">
        <v>1653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1653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ht="14.25" spans="1:34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1653</v>
      </c>
      <c r="F1244" s="20" t="s">
        <v>1654</v>
      </c>
      <c r="G1244" s="20" t="s">
        <v>1653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1653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ht="14.25" spans="1:34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1655</v>
      </c>
      <c r="F1245" s="20" t="s">
        <v>1655</v>
      </c>
      <c r="G1245" s="20" t="s">
        <v>1655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1656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14411.62</v>
      </c>
      <c r="W1245" s="32">
        <f t="shared" si="129"/>
        <v>25731.0693069307</v>
      </c>
      <c r="X1245" s="32"/>
      <c r="Y1245" s="32">
        <f t="shared" si="128"/>
        <v>25731.0693069307</v>
      </c>
      <c r="Z1245" s="32">
        <f t="shared" si="125"/>
        <v>257.310693069307</v>
      </c>
      <c r="AA1245" s="31">
        <v>25988.38</v>
      </c>
      <c r="AB1245" s="23">
        <v>0.165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ht="14.25" spans="1:34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1657</v>
      </c>
      <c r="F1246" s="20" t="s">
        <v>1657</v>
      </c>
      <c r="G1246" s="20" t="s">
        <v>1657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1658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9947.3</v>
      </c>
      <c r="V1246" s="32">
        <f t="shared" si="127"/>
        <v>52.7000000000007</v>
      </c>
      <c r="W1246" s="32">
        <f t="shared" si="129"/>
        <v>9947.3</v>
      </c>
      <c r="X1246" s="32"/>
      <c r="Y1246" s="32"/>
      <c r="Z1246" s="32">
        <f t="shared" si="125"/>
        <v>0</v>
      </c>
      <c r="AA1246" s="31">
        <v>9947.3</v>
      </c>
      <c r="AB1246" s="23">
        <v>0.165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ht="14.25" spans="1:34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ht="14.25" spans="1:34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1659</v>
      </c>
      <c r="F1248" s="20" t="s">
        <v>1659</v>
      </c>
      <c r="G1248" s="20" t="s">
        <v>1659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1660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</v>
      </c>
      <c r="X1248" s="32"/>
      <c r="Y1248" s="32">
        <f t="shared" si="130"/>
        <v>955.922330097087</v>
      </c>
      <c r="Z1248" s="32">
        <f t="shared" si="125"/>
        <v>28.6776699029126</v>
      </c>
      <c r="AA1248" s="31">
        <v>984.6</v>
      </c>
      <c r="AB1248" s="23">
        <v>0.165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ht="14.25" spans="1:34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1661</v>
      </c>
      <c r="F1249" s="20" t="s">
        <v>1661</v>
      </c>
      <c r="G1249" s="20" t="s">
        <v>1661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1662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ht="14.25" spans="1:34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1661</v>
      </c>
      <c r="F1250" s="20" t="s">
        <v>1661</v>
      </c>
      <c r="G1250" s="20" t="s">
        <v>1661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1663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ht="14.25" spans="1:34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1664</v>
      </c>
      <c r="F1251" s="20" t="s">
        <v>1664</v>
      </c>
      <c r="G1251" s="20" t="s">
        <v>1664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1665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ht="14.25" spans="1:34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1666</v>
      </c>
      <c r="F1252" s="20" t="s">
        <v>1666</v>
      </c>
      <c r="G1252" s="20" t="s">
        <v>1666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1666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6134.87254901961</v>
      </c>
      <c r="X1252" s="32"/>
      <c r="Y1252" s="32">
        <f t="shared" si="130"/>
        <v>6134.87254901961</v>
      </c>
      <c r="Z1252" s="32">
        <f t="shared" si="125"/>
        <v>122.697450980392</v>
      </c>
      <c r="AA1252" s="31">
        <v>0</v>
      </c>
      <c r="AB1252" s="23">
        <v>0.165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ht="14.25" spans="1:34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1666</v>
      </c>
      <c r="F1253" s="20" t="s">
        <v>1666</v>
      </c>
      <c r="G1253" s="20" t="s">
        <v>1666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1666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ht="14.25" spans="1:34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1667</v>
      </c>
      <c r="F1254" s="20" t="s">
        <v>1667</v>
      </c>
      <c r="G1254" s="20" t="s">
        <v>1667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1668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2245.95000000001</v>
      </c>
      <c r="T1254" s="31">
        <v>-2219.75</v>
      </c>
      <c r="U1254" s="32">
        <v>0</v>
      </c>
      <c r="V1254" s="32">
        <f t="shared" si="131"/>
        <v>26.2000000000098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ht="14.25" spans="1:34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1667</v>
      </c>
      <c r="F1255" s="20" t="s">
        <v>1667</v>
      </c>
      <c r="G1255" s="20" t="s">
        <v>1667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1668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</v>
      </c>
      <c r="V1255" s="32">
        <f t="shared" si="131"/>
        <v>115571.51</v>
      </c>
      <c r="W1255" s="32">
        <f t="shared" si="129"/>
        <v>66648.24</v>
      </c>
      <c r="X1255" s="32"/>
      <c r="Y1255" s="32">
        <f t="shared" si="130"/>
        <v>66648.24</v>
      </c>
      <c r="Z1255" s="32">
        <f t="shared" si="125"/>
        <v>0</v>
      </c>
      <c r="AA1255" s="31">
        <v>66648.24</v>
      </c>
      <c r="AB1255" s="23">
        <v>0.165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ht="14.25" spans="1:34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1669</v>
      </c>
      <c r="F1256" s="20" t="s">
        <v>1669</v>
      </c>
      <c r="G1256" s="20" t="s">
        <v>1669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ht="14.25" spans="1:34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1669</v>
      </c>
      <c r="F1257" s="20" t="s">
        <v>1669</v>
      </c>
      <c r="G1257" s="20" t="s">
        <v>1669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1670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ht="14.25" spans="1:34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1671</v>
      </c>
      <c r="F1258" s="20" t="s">
        <v>1672</v>
      </c>
      <c r="G1258" s="20" t="s">
        <v>1671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1673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73956.7549019608</v>
      </c>
      <c r="X1258" s="32"/>
      <c r="Y1258" s="32">
        <f t="shared" si="130"/>
        <v>73956.7549019608</v>
      </c>
      <c r="Z1258" s="32">
        <f t="shared" si="125"/>
        <v>1479.13509803922</v>
      </c>
      <c r="AA1258" s="31">
        <v>75435.89</v>
      </c>
      <c r="AB1258" s="23">
        <v>0.165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ht="14.25" spans="1:34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4442.96078431373</v>
      </c>
      <c r="X1259" s="32"/>
      <c r="Y1259" s="32">
        <f t="shared" si="130"/>
        <v>4442.96078431373</v>
      </c>
      <c r="Z1259" s="32">
        <f t="shared" si="125"/>
        <v>88.8592156862742</v>
      </c>
      <c r="AA1259" s="34">
        <v>0</v>
      </c>
      <c r="AB1259" s="24">
        <v>0.165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ht="14.25" spans="1:34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1674</v>
      </c>
      <c r="F1260" s="20" t="s">
        <v>1674</v>
      </c>
      <c r="G1260" s="20" t="s">
        <v>1674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1674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ht="14.25" spans="1:34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1675</v>
      </c>
      <c r="F1261" s="20" t="s">
        <v>1675</v>
      </c>
      <c r="G1261" s="20" t="s">
        <v>1675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1676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1677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9115.568</v>
      </c>
      <c r="X1261" s="32"/>
      <c r="Y1261" s="32">
        <f t="shared" si="130"/>
        <v>9115.568</v>
      </c>
      <c r="Z1261" s="32">
        <f t="shared" si="125"/>
        <v>-9115.568</v>
      </c>
      <c r="AA1261" s="31">
        <v>0</v>
      </c>
      <c r="AB1261" s="23">
        <v>0.165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ht="14.25" spans="1:34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1675</v>
      </c>
      <c r="F1262" s="20" t="s">
        <v>1675</v>
      </c>
      <c r="G1262" s="20" t="s">
        <v>1675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1678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1677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421.792</v>
      </c>
      <c r="X1262" s="32"/>
      <c r="Y1262" s="32">
        <f t="shared" si="130"/>
        <v>421.792</v>
      </c>
      <c r="Z1262" s="32">
        <f t="shared" si="125"/>
        <v>-421.792</v>
      </c>
      <c r="AA1262" s="31">
        <v>0</v>
      </c>
      <c r="AB1262" s="23">
        <v>0.165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ht="14.25" spans="1:34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1675</v>
      </c>
      <c r="F1263" s="20" t="s">
        <v>1675</v>
      </c>
      <c r="G1263" s="20" t="s">
        <v>1675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1679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1677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7686.532</v>
      </c>
      <c r="X1263" s="32"/>
      <c r="Y1263" s="32">
        <f t="shared" si="130"/>
        <v>7686.532</v>
      </c>
      <c r="Z1263" s="32">
        <f t="shared" si="125"/>
        <v>-7686.532</v>
      </c>
      <c r="AA1263" s="31">
        <v>0</v>
      </c>
      <c r="AB1263" s="23">
        <v>0.165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ht="14.25" spans="1:34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1680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ht="14.25" spans="1:34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1681</v>
      </c>
      <c r="F1265" s="20" t="s">
        <v>1682</v>
      </c>
      <c r="G1265" s="20" t="s">
        <v>1681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1683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ht="14.25" spans="1:34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1681</v>
      </c>
      <c r="F1266" s="20" t="s">
        <v>1682</v>
      </c>
      <c r="G1266" s="20" t="s">
        <v>1681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1684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</v>
      </c>
      <c r="T1266" s="31">
        <v>-74297.5</v>
      </c>
      <c r="U1266" s="32">
        <v>0</v>
      </c>
      <c r="V1266" s="32">
        <f t="shared" si="132"/>
        <v>3.60000000000582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ht="14.25" spans="1:34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1681</v>
      </c>
      <c r="F1267" s="20" t="s">
        <v>1682</v>
      </c>
      <c r="G1267" s="20" t="s">
        <v>1681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1684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ht="14.25" spans="1:34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1681</v>
      </c>
      <c r="F1268" s="20" t="s">
        <v>1682</v>
      </c>
      <c r="G1268" s="20" t="s">
        <v>1681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1685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ht="14.25" spans="1:34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</v>
      </c>
      <c r="T1269" s="31"/>
      <c r="U1269" s="32">
        <v>4930.02</v>
      </c>
      <c r="V1269" s="32">
        <f t="shared" si="132"/>
        <v>0</v>
      </c>
      <c r="W1269" s="32">
        <f t="shared" si="134"/>
        <v>4930.02</v>
      </c>
      <c r="X1269" s="32"/>
      <c r="Y1269" s="32">
        <f t="shared" si="130"/>
        <v>4930.02</v>
      </c>
      <c r="Z1269" s="32">
        <f t="shared" si="125"/>
        <v>0</v>
      </c>
      <c r="AA1269" s="31">
        <v>4930.02</v>
      </c>
      <c r="AB1269" s="23">
        <v>0.165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ht="14.25" spans="1:34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1675</v>
      </c>
      <c r="F1270" s="20" t="s">
        <v>1675</v>
      </c>
      <c r="G1270" s="20" t="s">
        <v>1675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1677</v>
      </c>
      <c r="S1270" s="31">
        <v>4294.86</v>
      </c>
      <c r="T1270" s="31">
        <v>-4294.86</v>
      </c>
      <c r="U1270" s="32">
        <v>0</v>
      </c>
      <c r="V1270" s="32">
        <f t="shared" si="132"/>
        <v>0</v>
      </c>
      <c r="W1270" s="32">
        <f>S1270*P1270</f>
        <v>4208.9628</v>
      </c>
      <c r="X1270" s="32"/>
      <c r="Y1270" s="32">
        <f t="shared" si="130"/>
        <v>4208.9628</v>
      </c>
      <c r="Z1270" s="32">
        <f t="shared" si="125"/>
        <v>-4208.9628</v>
      </c>
      <c r="AA1270" s="31">
        <v>0</v>
      </c>
      <c r="AB1270" s="23">
        <v>0.165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ht="14.25" spans="1:34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1686</v>
      </c>
      <c r="F1271" s="20" t="s">
        <v>1687</v>
      </c>
      <c r="G1271" s="20" t="s">
        <v>1686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1686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ht="14.25" spans="1:34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1688</v>
      </c>
      <c r="F1272" s="20" t="s">
        <v>1689</v>
      </c>
      <c r="G1272" s="20" t="s">
        <v>1688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1688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41375.92</v>
      </c>
      <c r="T1272" s="31">
        <v>-41375.92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ht="14.25" spans="1:34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ht="14.25" spans="1:34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1690</v>
      </c>
      <c r="F1274" s="20" t="s">
        <v>1690</v>
      </c>
      <c r="G1274" s="20" t="s">
        <v>1690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1686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1928.91089108911</v>
      </c>
      <c r="X1274" s="32"/>
      <c r="Y1274" s="32">
        <f t="shared" si="130"/>
        <v>1928.91089108911</v>
      </c>
      <c r="Z1274" s="32">
        <f t="shared" si="125"/>
        <v>19.2891089108912</v>
      </c>
      <c r="AA1274" s="31">
        <v>1948.2</v>
      </c>
      <c r="AB1274" s="23">
        <v>0.165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ht="14.25" spans="1:34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1691</v>
      </c>
      <c r="F1275" s="20" t="s">
        <v>1691</v>
      </c>
      <c r="G1275" s="20" t="s">
        <v>1691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1692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5124.01960784314</v>
      </c>
      <c r="X1275" s="32"/>
      <c r="Y1275" s="32">
        <f t="shared" si="130"/>
        <v>5124.01960784314</v>
      </c>
      <c r="Z1275" s="32">
        <f t="shared" si="125"/>
        <v>102.480392156863</v>
      </c>
      <c r="AA1275" s="31">
        <v>5226.5</v>
      </c>
      <c r="AB1275" s="23">
        <v>0.165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ht="14.25" spans="1:34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1.04999999999973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ht="14.25" spans="1:34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1693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</v>
      </c>
      <c r="X1277" s="32"/>
      <c r="Y1277" s="32">
        <f t="shared" si="130"/>
        <v>2061.03571428571</v>
      </c>
      <c r="Z1277" s="32">
        <f t="shared" si="125"/>
        <v>247.324285714286</v>
      </c>
      <c r="AA1277" s="31">
        <v>3485.6</v>
      </c>
      <c r="AB1277" s="23">
        <v>0.165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ht="14.25" spans="1:34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1694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39.0399999999991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ht="14.25" spans="1:34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1695</v>
      </c>
      <c r="F1279" s="20" t="s">
        <v>1695</v>
      </c>
      <c r="G1279" s="20" t="s">
        <v>1695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1693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1142.95145631068</v>
      </c>
      <c r="X1279" s="32"/>
      <c r="Y1279" s="32">
        <f t="shared" si="130"/>
        <v>1142.95145631068</v>
      </c>
      <c r="Z1279" s="32">
        <f t="shared" si="125"/>
        <v>34.2885436893205</v>
      </c>
      <c r="AA1279" s="31">
        <v>0</v>
      </c>
      <c r="AB1279" s="23">
        <v>0.165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ht="14.25" spans="1:34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1696</v>
      </c>
      <c r="F1280" s="20" t="s">
        <v>1696</v>
      </c>
      <c r="G1280" s="20" t="s">
        <v>1696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1697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ht="14.25" spans="1:34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1698</v>
      </c>
      <c r="F1281" s="20" t="s">
        <v>1699</v>
      </c>
      <c r="G1281" s="20" t="s">
        <v>1698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1700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ht="14.25" spans="1:34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ht="14.25" spans="1:34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ht="14.25" spans="1:34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ht="14.25" spans="1:34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ht="14.25" spans="1:34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1701</v>
      </c>
      <c r="F1286" s="20" t="s">
        <v>1701</v>
      </c>
      <c r="G1286" s="20" t="s">
        <v>1701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1702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ht="14.25" spans="1:34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1701</v>
      </c>
      <c r="F1287" s="20" t="s">
        <v>1701</v>
      </c>
      <c r="G1287" s="20" t="s">
        <v>1701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1702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</v>
      </c>
      <c r="X1287" s="32"/>
      <c r="Y1287" s="32">
        <f t="shared" si="130"/>
        <v>1960.78431372549</v>
      </c>
      <c r="Z1287" s="32">
        <f t="shared" si="137"/>
        <v>39.2156862745098</v>
      </c>
      <c r="AA1287" s="31">
        <v>60454.8</v>
      </c>
      <c r="AB1287" s="23">
        <v>0.165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ht="14.25" spans="1:34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1701</v>
      </c>
      <c r="F1288" s="20" t="s">
        <v>1701</v>
      </c>
      <c r="G1288" s="20" t="s">
        <v>1701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1702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36545.2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ht="14.25" spans="1:34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1703</v>
      </c>
      <c r="F1289" s="20" t="s">
        <v>1703</v>
      </c>
      <c r="G1289" s="20" t="s">
        <v>1703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1703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ht="14.25" spans="1:34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1704</v>
      </c>
      <c r="F1290" s="20" t="s">
        <v>1704</v>
      </c>
      <c r="G1290" s="20" t="s">
        <v>1704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1705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ht="14.25" spans="1:34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1704</v>
      </c>
      <c r="F1291" s="20" t="s">
        <v>1704</v>
      </c>
      <c r="G1291" s="20" t="s">
        <v>1704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1705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</v>
      </c>
      <c r="U1291" s="32">
        <v>508542.8</v>
      </c>
      <c r="V1291" s="32">
        <f t="shared" si="136"/>
        <v>864470.8</v>
      </c>
      <c r="W1291" s="32">
        <f t="shared" si="135"/>
        <v>498571.37254902</v>
      </c>
      <c r="X1291" s="32"/>
      <c r="Y1291" s="32">
        <f t="shared" si="130"/>
        <v>498571.37254902</v>
      </c>
      <c r="Z1291" s="32">
        <f t="shared" si="137"/>
        <v>9971.42745098041</v>
      </c>
      <c r="AA1291" s="31">
        <v>508542.8</v>
      </c>
      <c r="AB1291" s="23">
        <v>0.165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ht="14.25" spans="1:34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ht="14.25" spans="1:34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25561.9411764706</v>
      </c>
      <c r="X1293" s="32"/>
      <c r="Y1293" s="32">
        <f t="shared" si="130"/>
        <v>25561.9411764706</v>
      </c>
      <c r="Z1293" s="32">
        <f t="shared" si="137"/>
        <v>511.238823529413</v>
      </c>
      <c r="AA1293" s="31">
        <v>0</v>
      </c>
      <c r="AB1293" s="23">
        <v>0.165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ht="14.25" spans="1:34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10.7100000000028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ht="14.25" spans="1:34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81239.2</v>
      </c>
      <c r="V1295" s="32">
        <f t="shared" si="138"/>
        <v>68760.8</v>
      </c>
      <c r="W1295" s="32">
        <f t="shared" si="135"/>
        <v>81239.2</v>
      </c>
      <c r="X1295" s="32"/>
      <c r="Y1295" s="32">
        <f t="shared" si="130"/>
        <v>81239.2</v>
      </c>
      <c r="Z1295" s="32">
        <f t="shared" si="137"/>
        <v>0</v>
      </c>
      <c r="AA1295" s="31">
        <v>81239.2</v>
      </c>
      <c r="AB1295" s="23">
        <v>0.165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ht="14.25" spans="1:34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1706</v>
      </c>
      <c r="F1296" s="20" t="s">
        <v>1706</v>
      </c>
      <c r="G1296" s="20" t="s">
        <v>1706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1706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ht="14.25" spans="1:34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1706</v>
      </c>
      <c r="F1297" s="20" t="s">
        <v>1706</v>
      </c>
      <c r="G1297" s="20" t="s">
        <v>1706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1707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</v>
      </c>
      <c r="X1297" s="32"/>
      <c r="Y1297" s="32">
        <f t="shared" si="130"/>
        <v>283009.405940594</v>
      </c>
      <c r="Z1297" s="32">
        <f t="shared" si="137"/>
        <v>2830.09405940596</v>
      </c>
      <c r="AA1297" s="31">
        <v>285839.5</v>
      </c>
      <c r="AB1297" s="23">
        <v>0.165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ht="14.25" spans="1:34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1708</v>
      </c>
      <c r="F1298" s="20" t="s">
        <v>1708</v>
      </c>
      <c r="G1298" s="20" t="s">
        <v>1708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1708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ht="14.25" spans="1:34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1708</v>
      </c>
      <c r="F1299" s="20" t="s">
        <v>1708</v>
      </c>
      <c r="G1299" s="20" t="s">
        <v>1708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1709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4941.86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ht="14.25" spans="1:34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1710</v>
      </c>
      <c r="F1300" s="20" t="s">
        <v>1710</v>
      </c>
      <c r="G1300" s="20" t="s">
        <v>1710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1711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ht="14.25" spans="1:34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1712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8.06999999999971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ht="14.25" spans="1:34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1712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</v>
      </c>
      <c r="U1302" s="32">
        <v>32746.4</v>
      </c>
      <c r="V1302" s="32">
        <f t="shared" si="138"/>
        <v>15187.01</v>
      </c>
      <c r="W1302" s="32">
        <f t="shared" si="135"/>
        <v>31486.9230769231</v>
      </c>
      <c r="X1302" s="32"/>
      <c r="Y1302" s="32">
        <f t="shared" si="130"/>
        <v>31486.9230769231</v>
      </c>
      <c r="Z1302" s="32">
        <f t="shared" si="137"/>
        <v>1259.47692307692</v>
      </c>
      <c r="AA1302" s="31">
        <v>32746.4</v>
      </c>
      <c r="AB1302" s="23">
        <v>0.165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ht="14.25" spans="1:34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ht="14.25" spans="1:34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1713</v>
      </c>
      <c r="F1304" s="20" t="s">
        <v>1713</v>
      </c>
      <c r="G1304" s="20" t="s">
        <v>1713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1713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73752.9</v>
      </c>
      <c r="V1304" s="32">
        <f t="shared" si="138"/>
        <v>126247.1</v>
      </c>
      <c r="W1304" s="32">
        <f t="shared" si="135"/>
        <v>72306.7647058823</v>
      </c>
      <c r="X1304" s="32"/>
      <c r="Y1304" s="32">
        <f t="shared" si="130"/>
        <v>72306.7647058823</v>
      </c>
      <c r="Z1304" s="32">
        <f t="shared" si="137"/>
        <v>1446.13529411764</v>
      </c>
      <c r="AA1304" s="31">
        <v>73752.9</v>
      </c>
      <c r="AB1304" s="23">
        <v>0.165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ht="14.25" spans="1:34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1713</v>
      </c>
      <c r="F1305" s="20" t="s">
        <v>1713</v>
      </c>
      <c r="G1305" s="20" t="s">
        <v>1713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1713</v>
      </c>
      <c r="M1305" s="23"/>
      <c r="N1305" s="20" t="s">
        <v>42</v>
      </c>
      <c r="O1305" s="20" t="s">
        <v>74</v>
      </c>
      <c r="P1305" s="23">
        <v>0.885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ht="14.25" spans="1:34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1714</v>
      </c>
      <c r="F1306" s="20" t="s">
        <v>1714</v>
      </c>
      <c r="G1306" s="20" t="s">
        <v>1714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1714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ht="14.25" spans="1:34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1714</v>
      </c>
      <c r="F1307" s="20" t="s">
        <v>1714</v>
      </c>
      <c r="G1307" s="20" t="s">
        <v>1714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1714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</v>
      </c>
      <c r="X1307" s="32"/>
      <c r="Y1307" s="32">
        <f t="shared" si="130"/>
        <v>121268.039215686</v>
      </c>
      <c r="Z1307" s="32">
        <f t="shared" si="137"/>
        <v>2425.36078431373</v>
      </c>
      <c r="AA1307" s="31">
        <v>123693.4</v>
      </c>
      <c r="AB1307" s="23">
        <v>0.165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ht="14.25" spans="1:34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1714</v>
      </c>
      <c r="F1308" s="20" t="s">
        <v>1714</v>
      </c>
      <c r="G1308" s="20" t="s">
        <v>1714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1715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ht="14.25" spans="1:34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1714</v>
      </c>
      <c r="F1309" s="20" t="s">
        <v>1714</v>
      </c>
      <c r="G1309" s="20" t="s">
        <v>1714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1715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14062.3529411765</v>
      </c>
      <c r="X1309" s="32"/>
      <c r="Y1309" s="32">
        <f t="shared" si="130"/>
        <v>14062.3529411765</v>
      </c>
      <c r="Z1309" s="32">
        <f t="shared" si="137"/>
        <v>281.24705882353</v>
      </c>
      <c r="AA1309" s="31">
        <v>14343.6</v>
      </c>
      <c r="AB1309" s="23">
        <v>0.165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ht="14.25" spans="1:34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1716</v>
      </c>
      <c r="F1310" s="20" t="s">
        <v>1717</v>
      </c>
      <c r="G1310" s="20" t="s">
        <v>1716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1716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ht="14.25" spans="1:34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1716</v>
      </c>
      <c r="F1311" s="20" t="s">
        <v>1717</v>
      </c>
      <c r="G1311" s="20" t="s">
        <v>1716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1716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ht="14.25" spans="1:34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1716</v>
      </c>
      <c r="F1312" s="20" t="s">
        <v>1717</v>
      </c>
      <c r="G1312" s="20" t="s">
        <v>1716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1716</v>
      </c>
      <c r="M1312" s="24"/>
      <c r="N1312" s="20" t="s">
        <v>42</v>
      </c>
      <c r="O1312" s="20" t="s">
        <v>74</v>
      </c>
      <c r="P1312" s="24">
        <v>0.885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ht="14.25" spans="1:34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1716</v>
      </c>
      <c r="F1313" s="20" t="s">
        <v>1717</v>
      </c>
      <c r="G1313" s="20" t="s">
        <v>1716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1716</v>
      </c>
      <c r="M1313" s="23"/>
      <c r="N1313" s="20" t="s">
        <v>42</v>
      </c>
      <c r="O1313" s="20" t="s">
        <v>74</v>
      </c>
      <c r="P1313" s="23">
        <v>0.885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ht="14.25" spans="1:34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1718</v>
      </c>
      <c r="F1314" s="20" t="s">
        <v>1719</v>
      </c>
      <c r="G1314" s="20" t="s">
        <v>1718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</v>
      </c>
      <c r="X1314" s="32"/>
      <c r="Y1314" s="32">
        <f t="shared" si="140"/>
        <v>-541.132075471698</v>
      </c>
      <c r="Z1314" s="32">
        <f t="shared" si="137"/>
        <v>-32.4679245283019</v>
      </c>
      <c r="AA1314" s="34">
        <v>0</v>
      </c>
      <c r="AB1314" s="24">
        <v>0.165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ht="14.25" spans="1:34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1718</v>
      </c>
      <c r="F1315" s="20" t="s">
        <v>1719</v>
      </c>
      <c r="G1315" s="20" t="s">
        <v>1718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ht="14.25" spans="1:34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1720</v>
      </c>
      <c r="F1316" s="20" t="s">
        <v>1721</v>
      </c>
      <c r="G1316" s="20" t="s">
        <v>1720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1720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ht="14.25" spans="1:34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1722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</v>
      </c>
      <c r="X1317" s="32"/>
      <c r="Y1317" s="32">
        <f t="shared" si="140"/>
        <v>541.132075471697</v>
      </c>
      <c r="Z1317" s="32">
        <f t="shared" si="137"/>
        <v>32.4679245283019</v>
      </c>
      <c r="AA1317" s="31">
        <v>0</v>
      </c>
      <c r="AB1317" s="23">
        <v>0.165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ht="14.25" spans="1:34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1723</v>
      </c>
      <c r="F1318" s="20" t="s">
        <v>1723</v>
      </c>
      <c r="G1318" s="20" t="s">
        <v>1723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1723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ht="14.25" spans="1:34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ht="14.25" spans="1:34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1724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</v>
      </c>
      <c r="T1320" s="31">
        <v>-1171.16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ht="14.25" spans="1:34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1725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38473.9509803922</v>
      </c>
      <c r="X1321" s="32"/>
      <c r="Y1321" s="32">
        <f t="shared" si="140"/>
        <v>38473.9509803922</v>
      </c>
      <c r="Z1321" s="32">
        <f t="shared" si="137"/>
        <v>769.479019607847</v>
      </c>
      <c r="AA1321" s="31">
        <v>49243.43</v>
      </c>
      <c r="AB1321" s="23">
        <v>0.165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ht="14.25" spans="1:34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1725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ht="14.25" spans="1:34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1726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ht="14.25" spans="1:34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ht="14.25" spans="1:34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ht="14.25" spans="1:34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1727</v>
      </c>
      <c r="F1326" s="20" t="s">
        <v>1728</v>
      </c>
      <c r="G1326" s="20" t="s">
        <v>1727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1727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ht="14.25" spans="1:34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1729</v>
      </c>
      <c r="F1327" s="20" t="s">
        <v>1729</v>
      </c>
      <c r="G1327" s="20" t="s">
        <v>1729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1729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ht="14.25" spans="1:34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1729</v>
      </c>
      <c r="F1328" s="20" t="s">
        <v>1729</v>
      </c>
      <c r="G1328" s="20" t="s">
        <v>1729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1730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ht="14.25" spans="1:34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1731</v>
      </c>
      <c r="F1329" s="20" t="s">
        <v>1731</v>
      </c>
      <c r="G1329" s="20" t="s">
        <v>1731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1731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</v>
      </c>
      <c r="T1329" s="31"/>
      <c r="U1329" s="31">
        <v>27345.2</v>
      </c>
      <c r="V1329" s="32">
        <f t="shared" si="142"/>
        <v>0</v>
      </c>
      <c r="W1329" s="32">
        <f t="shared" si="135"/>
        <v>26293.4615384615</v>
      </c>
      <c r="X1329" s="32"/>
      <c r="Y1329" s="32">
        <f t="shared" si="140"/>
        <v>26293.4615384615</v>
      </c>
      <c r="Z1329" s="32">
        <f t="shared" si="137"/>
        <v>1051.73846153846</v>
      </c>
      <c r="AA1329" s="31">
        <v>0</v>
      </c>
      <c r="AB1329" s="23">
        <v>0.165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ht="14.25" spans="1:34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1731</v>
      </c>
      <c r="F1330" s="20" t="s">
        <v>1731</v>
      </c>
      <c r="G1330" s="20" t="s">
        <v>1731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1731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</v>
      </c>
      <c r="U1330" s="31">
        <v>-27345.2</v>
      </c>
      <c r="V1330" s="32">
        <f t="shared" si="142"/>
        <v>0</v>
      </c>
      <c r="W1330" s="32">
        <f t="shared" si="135"/>
        <v>-27345.2</v>
      </c>
      <c r="X1330" s="32"/>
      <c r="Y1330" s="32">
        <f t="shared" si="140"/>
        <v>-27345.2</v>
      </c>
      <c r="Z1330" s="32">
        <f t="shared" si="137"/>
        <v>0</v>
      </c>
      <c r="AA1330" s="31">
        <v>0</v>
      </c>
      <c r="AB1330" s="23">
        <v>0.165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ht="14.25" spans="1:34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1731</v>
      </c>
      <c r="F1331" s="20" t="s">
        <v>1731</v>
      </c>
      <c r="G1331" s="20" t="s">
        <v>1731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1732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</v>
      </c>
      <c r="U1331" s="32">
        <v>0</v>
      </c>
      <c r="V1331" s="32">
        <f t="shared" si="142"/>
        <v>27345.2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ht="14.25" spans="1:34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ht="14.25" spans="1:34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0.200000000000273</v>
      </c>
      <c r="T1333" s="31">
        <v>-0.2</v>
      </c>
      <c r="U1333" s="32">
        <v>0</v>
      </c>
      <c r="V1333" s="32">
        <f t="shared" ref="V1333:V1340" si="143">S1333+T1333-U1333</f>
        <v>2.7297608617971e-13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ht="14.25" spans="1:34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4925.48</v>
      </c>
      <c r="V1334" s="32">
        <f t="shared" si="143"/>
        <v>15074.52</v>
      </c>
      <c r="W1334" s="32">
        <f t="shared" si="135"/>
        <v>4925.48</v>
      </c>
      <c r="X1334" s="32"/>
      <c r="Y1334" s="32">
        <f t="shared" si="140"/>
        <v>4925.48</v>
      </c>
      <c r="Z1334" s="32">
        <f t="shared" si="137"/>
        <v>0</v>
      </c>
      <c r="AA1334" s="31">
        <v>4925.48</v>
      </c>
      <c r="AB1334" s="23">
        <v>0.165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ht="14.25" spans="1:34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ht="14.25" spans="1:34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1733</v>
      </c>
      <c r="F1336" s="20" t="s">
        <v>1733</v>
      </c>
      <c r="G1336" s="20" t="s">
        <v>1733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32897.92</v>
      </c>
      <c r="V1336" s="32">
        <f t="shared" si="143"/>
        <v>4302.08</v>
      </c>
      <c r="W1336" s="32">
        <f t="shared" si="144"/>
        <v>32897.92</v>
      </c>
      <c r="X1336" s="32"/>
      <c r="Y1336" s="32">
        <f t="shared" si="140"/>
        <v>32897.92</v>
      </c>
      <c r="Z1336" s="32">
        <f t="shared" si="137"/>
        <v>0</v>
      </c>
      <c r="AA1336" s="31">
        <v>32897.92</v>
      </c>
      <c r="AB1336" s="23">
        <v>0.165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ht="14.25" spans="1:34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</v>
      </c>
      <c r="T1337" s="31">
        <v>-992.05</v>
      </c>
      <c r="U1337" s="32">
        <v>0</v>
      </c>
      <c r="V1337" s="32">
        <f t="shared" si="143"/>
        <v>3.06954461848363e-12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ht="14.25" spans="1:34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ht="14.25" spans="1:34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ht="14.25" spans="1:34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1734</v>
      </c>
      <c r="F1340" s="20" t="s">
        <v>1734</v>
      </c>
      <c r="G1340" s="20" t="s">
        <v>1734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1735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17928.6</v>
      </c>
      <c r="W1340" s="32">
        <f t="shared" si="144"/>
        <v>2030.78431372549</v>
      </c>
      <c r="X1340" s="32"/>
      <c r="Y1340" s="32">
        <f t="shared" si="140"/>
        <v>2030.78431372549</v>
      </c>
      <c r="Z1340" s="32">
        <f t="shared" si="137"/>
        <v>40.6156862745099</v>
      </c>
      <c r="AA1340" s="31">
        <v>2071.4</v>
      </c>
      <c r="AB1340" s="23">
        <v>0.165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ht="14.25" spans="1:34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ht="14.25" spans="1:34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1736</v>
      </c>
      <c r="F1342" s="20" t="s">
        <v>1736</v>
      </c>
      <c r="G1342" s="20" t="s">
        <v>1736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1736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</v>
      </c>
      <c r="T1342" s="31">
        <v>-156.2</v>
      </c>
      <c r="U1342" s="32">
        <v>0</v>
      </c>
      <c r="V1342" s="32">
        <f t="shared" ref="V1342:V1346" si="145">S1342+T1342-U1342</f>
        <v>1.02318153949454e-12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ht="14.25" spans="1:34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1737</v>
      </c>
      <c r="F1343" s="20" t="s">
        <v>1738</v>
      </c>
      <c r="G1343" s="20" t="s">
        <v>1737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1739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ht="14.25" spans="1:34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1737</v>
      </c>
      <c r="F1344" s="20" t="s">
        <v>1738</v>
      </c>
      <c r="G1344" s="20" t="s">
        <v>1737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1739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ht="14.25" spans="1:34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1737</v>
      </c>
      <c r="F1345" s="20" t="s">
        <v>1738</v>
      </c>
      <c r="G1345" s="20" t="s">
        <v>1737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1740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ht="14.25" spans="1:34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1737</v>
      </c>
      <c r="F1346" s="20" t="s">
        <v>1738</v>
      </c>
      <c r="G1346" s="20" t="s">
        <v>1737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1740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ht="14.25" spans="1:34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1741</v>
      </c>
      <c r="F1347" s="20" t="s">
        <v>1741</v>
      </c>
      <c r="G1347" s="20" t="s">
        <v>1741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1741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2">
        <f t="shared" si="144"/>
        <v>0</v>
      </c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ht="14.25" spans="1:34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1741</v>
      </c>
      <c r="F1348" s="20" t="s">
        <v>1741</v>
      </c>
      <c r="G1348" s="20" t="s">
        <v>1741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1741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2">
        <f t="shared" si="144"/>
        <v>0</v>
      </c>
      <c r="X1348" s="32"/>
      <c r="Y1348" s="32">
        <f t="shared" si="140"/>
        <v>0</v>
      </c>
      <c r="Z1348" s="32">
        <f t="shared" si="137"/>
        <v>0</v>
      </c>
      <c r="AA1348" s="31">
        <v>0</v>
      </c>
      <c r="AB1348" s="23">
        <v>0.165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ht="14.25" spans="1:34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1742</v>
      </c>
      <c r="F1349" s="20" t="s">
        <v>1742</v>
      </c>
      <c r="G1349" s="20" t="s">
        <v>1742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1742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ht="14.25" spans="1:34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1739</v>
      </c>
      <c r="F1350" s="20" t="s">
        <v>1743</v>
      </c>
      <c r="G1350" s="20" t="s">
        <v>1739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1744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0.0100000000020373</v>
      </c>
      <c r="T1350" s="31"/>
      <c r="U1350" s="32">
        <v>0</v>
      </c>
      <c r="V1350" s="32">
        <f t="shared" si="146"/>
        <v>0.0100000000020373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ht="14.25" spans="1:34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1745</v>
      </c>
      <c r="F1351" s="20" t="s">
        <v>1745</v>
      </c>
      <c r="G1351" s="20" t="s">
        <v>1745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1746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ht="14.25" spans="1:34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1747</v>
      </c>
      <c r="F1352" s="20" t="s">
        <v>1747</v>
      </c>
      <c r="G1352" s="20" t="s">
        <v>1747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1748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ht="14.25" spans="1:34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1749</v>
      </c>
      <c r="F1353" s="20" t="s">
        <v>1750</v>
      </c>
      <c r="G1353" s="20" t="s">
        <v>1749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1749</v>
      </c>
      <c r="M1353" s="23"/>
      <c r="N1353" s="20" t="s">
        <v>42</v>
      </c>
      <c r="O1353" s="20" t="s">
        <v>43</v>
      </c>
      <c r="P1353" s="23">
        <v>0.12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5357.14285714286</v>
      </c>
      <c r="X1353" s="32"/>
      <c r="Y1353" s="32">
        <f t="shared" si="140"/>
        <v>5357.14285714286</v>
      </c>
      <c r="Z1353" s="32">
        <f t="shared" si="147"/>
        <v>642.857142857143</v>
      </c>
      <c r="AA1353" s="31">
        <v>0</v>
      </c>
      <c r="AB1353" s="23">
        <v>0.165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ht="14.25" spans="1:34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1749</v>
      </c>
      <c r="F1354" s="20" t="s">
        <v>1750</v>
      </c>
      <c r="G1354" s="20" t="s">
        <v>1749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1749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ht="14.25" spans="1:34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1751</v>
      </c>
      <c r="F1355" s="20" t="s">
        <v>1751</v>
      </c>
      <c r="G1355" s="20" t="s">
        <v>1751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1752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ht="14.25" spans="1:34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1751</v>
      </c>
      <c r="F1356" s="20" t="s">
        <v>1751</v>
      </c>
      <c r="G1356" s="20" t="s">
        <v>1751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1753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ht="14.25" spans="1:34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1754</v>
      </c>
      <c r="F1357" s="20" t="s">
        <v>1754</v>
      </c>
      <c r="G1357" s="20" t="s">
        <v>1754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1754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ht="14.25" spans="1:34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1754</v>
      </c>
      <c r="F1358" s="20" t="s">
        <v>1754</v>
      </c>
      <c r="G1358" s="20" t="s">
        <v>1754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1754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ht="14.25" spans="1:34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1755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ht="14.25" spans="1:34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1756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ht="14.25" spans="1:34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1756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1757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2948.52941176471</v>
      </c>
      <c r="X1361" s="32"/>
      <c r="Y1361" s="32">
        <f t="shared" si="140"/>
        <v>2948.52941176471</v>
      </c>
      <c r="Z1361" s="32">
        <f t="shared" si="147"/>
        <v>58.9705882352941</v>
      </c>
      <c r="AA1361" s="31">
        <v>3007.5</v>
      </c>
      <c r="AB1361" s="23">
        <v>0.165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ht="14.25" spans="1:34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1758</v>
      </c>
      <c r="F1362" s="20" t="s">
        <v>1758</v>
      </c>
      <c r="G1362" s="20" t="s">
        <v>1758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1759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1760</v>
      </c>
      <c r="S1362" s="31">
        <v>-94.4100000000035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ht="14.25" spans="1:34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1761</v>
      </c>
      <c r="F1363" s="20" t="s">
        <v>1761</v>
      </c>
      <c r="G1363" s="20" t="s">
        <v>1761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1762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ht="14.25" spans="1:34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1763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ht="14.25" spans="1:34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1763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1764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8121.43</v>
      </c>
      <c r="W1365" s="32">
        <f t="shared" si="150"/>
        <v>4761.47619047619</v>
      </c>
      <c r="X1365" s="32"/>
      <c r="Y1365" s="32">
        <f t="shared" si="140"/>
        <v>4761.47619047619</v>
      </c>
      <c r="Z1365" s="32">
        <f t="shared" si="147"/>
        <v>238.073809523809</v>
      </c>
      <c r="AA1365" s="31">
        <v>5999.55</v>
      </c>
      <c r="AB1365" s="23">
        <v>0.165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ht="14.25" spans="1:34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1763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1764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ht="14.25" spans="1:34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1765</v>
      </c>
      <c r="F1367" s="20" t="s">
        <v>1765</v>
      </c>
      <c r="G1367" s="20" t="s">
        <v>1765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1766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ht="14.25" spans="1:34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1767</v>
      </c>
      <c r="F1368" s="20" t="s">
        <v>1768</v>
      </c>
      <c r="G1368" s="20" t="s">
        <v>1767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1769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ht="14.25" spans="1:34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1767</v>
      </c>
      <c r="F1369" s="20" t="s">
        <v>1768</v>
      </c>
      <c r="G1369" s="20" t="s">
        <v>1767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1769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</v>
      </c>
      <c r="V1369" s="32">
        <f t="shared" ref="V1369:V1375" si="151">S1369+T1369-U1369</f>
        <v>61081.52</v>
      </c>
      <c r="W1369" s="32">
        <f t="shared" si="150"/>
        <v>138918.48</v>
      </c>
      <c r="X1369" s="32"/>
      <c r="Y1369" s="32">
        <f t="shared" si="140"/>
        <v>138918.48</v>
      </c>
      <c r="Z1369" s="32">
        <f t="shared" si="147"/>
        <v>0</v>
      </c>
      <c r="AA1369" s="31">
        <v>138918.48</v>
      </c>
      <c r="AB1369" s="23">
        <v>0.165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ht="14.25" spans="1:34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1767</v>
      </c>
      <c r="F1370" s="20" t="s">
        <v>1770</v>
      </c>
      <c r="G1370" s="20" t="s">
        <v>1767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1771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ht="14.25" spans="1:34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1772</v>
      </c>
      <c r="F1371" s="20" t="s">
        <v>1772</v>
      </c>
      <c r="G1371" s="20" t="s">
        <v>1772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1772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ht="14.25" spans="1:34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1773</v>
      </c>
      <c r="F1372" s="20" t="s">
        <v>1773</v>
      </c>
      <c r="G1372" s="20" t="s">
        <v>1773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1773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ht="14.25" spans="1:34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1773</v>
      </c>
      <c r="F1373" s="20" t="s">
        <v>1773</v>
      </c>
      <c r="G1373" s="20" t="s">
        <v>1773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1774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</v>
      </c>
      <c r="U1373" s="32">
        <v>0</v>
      </c>
      <c r="V1373" s="32">
        <f t="shared" si="151"/>
        <v>2349.03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ht="14.25" spans="1:34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1775</v>
      </c>
      <c r="F1374" s="20" t="s">
        <v>1775</v>
      </c>
      <c r="G1374" s="20" t="s">
        <v>1775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1775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ht="14.25" spans="1:34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1776</v>
      </c>
      <c r="F1375" s="20" t="s">
        <v>1776</v>
      </c>
      <c r="G1375" s="20" t="s">
        <v>1776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1777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58132.1274509804</v>
      </c>
      <c r="X1375" s="32"/>
      <c r="Y1375" s="32">
        <f t="shared" ref="Y1375:Y1438" si="152">W1375+X1375</f>
        <v>58132.1274509804</v>
      </c>
      <c r="Z1375" s="32">
        <f t="shared" si="147"/>
        <v>1162.64254901961</v>
      </c>
      <c r="AA1375" s="31">
        <v>59294.77</v>
      </c>
      <c r="AB1375" s="23">
        <v>0.165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ht="14.25" spans="1:34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1778</v>
      </c>
      <c r="F1376" s="20" t="s">
        <v>1778</v>
      </c>
      <c r="G1376" s="20" t="s">
        <v>1778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1778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ht="14.25" spans="1:34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1778</v>
      </c>
      <c r="F1377" s="20" t="s">
        <v>1778</v>
      </c>
      <c r="G1377" s="20" t="s">
        <v>1778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1778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ht="14.25" spans="1:34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ht="14.25" spans="1:34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1779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</v>
      </c>
      <c r="AA1379" s="31">
        <v>7686.72</v>
      </c>
      <c r="AB1379" s="23">
        <v>0.165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ht="14.25" spans="1:34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1780</v>
      </c>
      <c r="F1380" s="20" t="s">
        <v>1780</v>
      </c>
      <c r="G1380" s="20" t="s">
        <v>1780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0.07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ht="14.25" spans="1:34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1781</v>
      </c>
      <c r="F1381" s="20" t="s">
        <v>1781</v>
      </c>
      <c r="G1381" s="20" t="s">
        <v>1781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1781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ht="14.25" spans="1:34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ht="14.25" spans="1:34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1782</v>
      </c>
      <c r="F1383" s="20" t="s">
        <v>1782</v>
      </c>
      <c r="G1383" s="20" t="s">
        <v>1782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1782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ht="14.25" spans="1:34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ht="14.25" spans="1:34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1783</v>
      </c>
      <c r="F1385" s="20" t="s">
        <v>1784</v>
      </c>
      <c r="G1385" s="20" t="s">
        <v>1783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1785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0.0100000000002183</v>
      </c>
      <c r="T1385" s="31"/>
      <c r="U1385" s="32">
        <v>0</v>
      </c>
      <c r="V1385" s="32">
        <f t="shared" si="153"/>
        <v>0.0100000000002183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ht="14.25" spans="1:34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1786</v>
      </c>
      <c r="F1386" s="20" t="s">
        <v>1786</v>
      </c>
      <c r="G1386" s="20" t="s">
        <v>1786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1787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</v>
      </c>
      <c r="X1386" s="32"/>
      <c r="Y1386" s="32">
        <f t="shared" si="152"/>
        <v>4318.13725490196</v>
      </c>
      <c r="Z1386" s="32">
        <f t="shared" si="147"/>
        <v>86.3627450980393</v>
      </c>
      <c r="AA1386" s="31">
        <v>4404.5</v>
      </c>
      <c r="AB1386" s="23">
        <v>0.165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ht="14.25" spans="1:34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1698</v>
      </c>
      <c r="F1387" s="20" t="s">
        <v>1698</v>
      </c>
      <c r="G1387" s="20" t="s">
        <v>1698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1788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ht="14.25" spans="1:34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1698</v>
      </c>
      <c r="F1388" s="20" t="s">
        <v>1698</v>
      </c>
      <c r="G1388" s="20" t="s">
        <v>1698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1789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</v>
      </c>
      <c r="V1388" s="32">
        <f t="shared" ref="V1388:V1391" si="154">S1388+T1388-U1388</f>
        <v>6410.05</v>
      </c>
      <c r="W1388" s="32">
        <f t="shared" si="150"/>
        <v>2098.29411764706</v>
      </c>
      <c r="X1388" s="32"/>
      <c r="Y1388" s="32">
        <f t="shared" si="152"/>
        <v>2098.29411764706</v>
      </c>
      <c r="Z1388" s="32">
        <f t="shared" si="147"/>
        <v>41.9658823529412</v>
      </c>
      <c r="AA1388" s="31">
        <v>2140.26</v>
      </c>
      <c r="AB1388" s="23">
        <v>0.165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ht="14.25" spans="1:34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1790</v>
      </c>
      <c r="F1389" s="20" t="s">
        <v>1790</v>
      </c>
      <c r="G1389" s="20" t="s">
        <v>1790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1790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ht="14.25" spans="1:34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1790</v>
      </c>
      <c r="F1390" s="20" t="s">
        <v>1790</v>
      </c>
      <c r="G1390" s="20" t="s">
        <v>1790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1790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</v>
      </c>
      <c r="X1390" s="32"/>
      <c r="Y1390" s="32">
        <f t="shared" si="152"/>
        <v>13218.431372549</v>
      </c>
      <c r="Z1390" s="32">
        <f t="shared" si="147"/>
        <v>264.36862745098</v>
      </c>
      <c r="AA1390" s="31">
        <v>0</v>
      </c>
      <c r="AB1390" s="23">
        <v>0.165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ht="14.25" spans="1:34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1790</v>
      </c>
      <c r="F1391" s="20" t="s">
        <v>1790</v>
      </c>
      <c r="G1391" s="20" t="s">
        <v>1790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1790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ht="14.25" spans="1:34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1791</v>
      </c>
      <c r="F1392" s="20" t="s">
        <v>1792</v>
      </c>
      <c r="G1392" s="20" t="s">
        <v>1791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1791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-0.900000000001455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ht="14.25" spans="1:34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1793</v>
      </c>
      <c r="F1393" s="20" t="s">
        <v>1793</v>
      </c>
      <c r="G1393" s="20" t="s">
        <v>1793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1793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</v>
      </c>
      <c r="T1393" s="31">
        <v>-25102.4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ht="14.25" spans="1:34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1793</v>
      </c>
      <c r="F1394" s="20" t="s">
        <v>1793</v>
      </c>
      <c r="G1394" s="20" t="s">
        <v>1793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1793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5422.09090909091</v>
      </c>
      <c r="X1394" s="32"/>
      <c r="Y1394" s="32">
        <f t="shared" si="152"/>
        <v>5422.09090909091</v>
      </c>
      <c r="Z1394" s="32">
        <f t="shared" si="147"/>
        <v>542.209090909091</v>
      </c>
      <c r="AA1394" s="31">
        <v>5964.3</v>
      </c>
      <c r="AB1394" s="23">
        <v>0.165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ht="14.25" spans="1:34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1794</v>
      </c>
      <c r="F1395" s="20" t="s">
        <v>1794</v>
      </c>
      <c r="G1395" s="20" t="s">
        <v>1794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1794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ht="14.25" spans="1:34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ht="14.25" spans="1:34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</v>
      </c>
      <c r="X1397" s="32"/>
      <c r="Y1397" s="32">
        <f t="shared" si="152"/>
        <v>2122.22222222222</v>
      </c>
      <c r="Z1397" s="32">
        <f t="shared" si="147"/>
        <v>169.777777777778</v>
      </c>
      <c r="AA1397" s="31">
        <v>2292</v>
      </c>
      <c r="AB1397" s="23">
        <v>0.165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ht="14.25" spans="1:34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1795</v>
      </c>
      <c r="F1398" s="20" t="s">
        <v>1795</v>
      </c>
      <c r="G1398" s="20" t="s">
        <v>1795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1795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ht="14.25" spans="1:34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1795</v>
      </c>
      <c r="F1399" s="20" t="s">
        <v>1795</v>
      </c>
      <c r="G1399" s="20" t="s">
        <v>1795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1795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ht="14.25" spans="1:34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1796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1797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ht="14.25" spans="1:34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1796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1797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ht="14.25" spans="1:34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1798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1799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ht="14.25" spans="1:34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1798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1799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ht="14.25" spans="1:34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1800</v>
      </c>
      <c r="F1404" s="20" t="s">
        <v>1800</v>
      </c>
      <c r="G1404" s="20" t="s">
        <v>1800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1801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</v>
      </c>
      <c r="T1404" s="31">
        <v>-19730.4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ht="14.25" spans="1:34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1800</v>
      </c>
      <c r="F1405" s="20" t="s">
        <v>1800</v>
      </c>
      <c r="G1405" s="20" t="s">
        <v>1800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1801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</v>
      </c>
      <c r="X1405" s="32"/>
      <c r="Y1405" s="32">
        <f t="shared" si="152"/>
        <v>4674.27184466019</v>
      </c>
      <c r="Z1405" s="32">
        <f t="shared" si="147"/>
        <v>140.228155339806</v>
      </c>
      <c r="AA1405" s="31">
        <v>4814.5</v>
      </c>
      <c r="AB1405" s="23">
        <v>0.165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ht="14.25" spans="1:34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1802</v>
      </c>
      <c r="F1406" s="20" t="s">
        <v>1802</v>
      </c>
      <c r="G1406" s="20" t="s">
        <v>1802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1802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ht="14.25" spans="1:34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1802</v>
      </c>
      <c r="F1407" s="20" t="s">
        <v>1803</v>
      </c>
      <c r="G1407" s="20" t="s">
        <v>1802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1802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ht="14.25" spans="1:34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1804</v>
      </c>
      <c r="F1408" s="20" t="s">
        <v>1804</v>
      </c>
      <c r="G1408" s="20" t="s">
        <v>1804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1804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ht="14.25" spans="1:34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1805</v>
      </c>
      <c r="F1409" s="20" t="s">
        <v>1805</v>
      </c>
      <c r="G1409" s="20" t="s">
        <v>1805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1805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ht="14.25" spans="1:34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1806</v>
      </c>
      <c r="F1410" s="20" t="s">
        <v>1806</v>
      </c>
      <c r="G1410" s="20" t="s">
        <v>1806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1807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5772.46</v>
      </c>
      <c r="W1410" s="32">
        <f t="shared" si="150"/>
        <v>13948.568627451</v>
      </c>
      <c r="X1410" s="32"/>
      <c r="Y1410" s="32">
        <f t="shared" si="152"/>
        <v>13948.568627451</v>
      </c>
      <c r="Z1410" s="32">
        <f t="shared" si="147"/>
        <v>278.97137254902</v>
      </c>
      <c r="AA1410" s="31">
        <v>14227.54</v>
      </c>
      <c r="AB1410" s="23">
        <v>0.165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ht="14.25" spans="1:34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1808</v>
      </c>
      <c r="F1411" s="20" t="s">
        <v>1808</v>
      </c>
      <c r="G1411" s="20" t="s">
        <v>1808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1808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ht="14.25" spans="1:34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1809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ht="14.25" spans="1:34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1809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ht="14.25" spans="1:34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1810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ht="14.25" spans="1:34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1810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20454.1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ht="14.25" spans="1:34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ht="14.25" spans="1:34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</v>
      </c>
      <c r="U1417" s="32">
        <v>16451.3</v>
      </c>
      <c r="V1417" s="32">
        <f t="shared" si="157"/>
        <v>11393.9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ht="14.25" spans="1:34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1811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ht="14.25" spans="1:34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1812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ht="14.25" spans="1:34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1813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ht="14.25" spans="1:34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1813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</v>
      </c>
      <c r="U1421" s="32">
        <v>1586.4</v>
      </c>
      <c r="V1421" s="32">
        <f t="shared" si="157"/>
        <v>8387.3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ht="14.25" spans="1:34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1814</v>
      </c>
      <c r="F1422" s="20" t="s">
        <v>1814</v>
      </c>
      <c r="G1422" s="20" t="s">
        <v>1814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1815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ht="14.25" spans="1:34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1816</v>
      </c>
      <c r="F1423" s="20" t="s">
        <v>1816</v>
      </c>
      <c r="G1423" s="20" t="s">
        <v>1816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1816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3128.8</v>
      </c>
      <c r="W1423" s="32">
        <f t="shared" si="150"/>
        <v>1695.66037735849</v>
      </c>
      <c r="X1423" s="32"/>
      <c r="Y1423" s="32">
        <f t="shared" si="152"/>
        <v>1695.66037735849</v>
      </c>
      <c r="Z1423" s="32">
        <f t="shared" si="158"/>
        <v>101.739622641509</v>
      </c>
      <c r="AA1423" s="31">
        <v>1797.4</v>
      </c>
      <c r="AB1423" s="23">
        <v>0.165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ht="14.25" spans="1:34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1817</v>
      </c>
      <c r="F1424" s="20" t="s">
        <v>1817</v>
      </c>
      <c r="G1424" s="20" t="s">
        <v>1817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1818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ht="14.25" spans="1:34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1817</v>
      </c>
      <c r="F1425" s="20" t="s">
        <v>1817</v>
      </c>
      <c r="G1425" s="20" t="s">
        <v>1817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1818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</v>
      </c>
      <c r="X1425" s="32"/>
      <c r="Y1425" s="32">
        <f t="shared" si="152"/>
        <v>8123.95192307692</v>
      </c>
      <c r="Z1425" s="32">
        <f t="shared" si="158"/>
        <v>324.958076923077</v>
      </c>
      <c r="AA1425" s="31">
        <v>12464.3</v>
      </c>
      <c r="AB1425" s="23">
        <v>0.165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ht="14.25" spans="1:34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1817</v>
      </c>
      <c r="F1426" s="20" t="s">
        <v>1817</v>
      </c>
      <c r="G1426" s="20" t="s">
        <v>1817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1817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667.830000000002</v>
      </c>
      <c r="T1426" s="31">
        <v>-664.83</v>
      </c>
      <c r="U1426" s="32">
        <v>0</v>
      </c>
      <c r="V1426" s="32">
        <f t="shared" si="159"/>
        <v>3.00000000000193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ht="14.25" spans="1:34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1817</v>
      </c>
      <c r="F1427" s="20" t="s">
        <v>1817</v>
      </c>
      <c r="G1427" s="20" t="s">
        <v>1817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1817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10338.4903846154</v>
      </c>
      <c r="X1427" s="32"/>
      <c r="Y1427" s="32">
        <f t="shared" si="152"/>
        <v>10338.4903846154</v>
      </c>
      <c r="Z1427" s="32">
        <f t="shared" si="158"/>
        <v>413.539615384616</v>
      </c>
      <c r="AA1427" s="31">
        <v>30348.3</v>
      </c>
      <c r="AB1427" s="23">
        <v>0.165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ht="14.25" spans="1:34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1819</v>
      </c>
      <c r="F1428" s="20" t="s">
        <v>1819</v>
      </c>
      <c r="G1428" s="20" t="s">
        <v>1819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1819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ht="14.25" spans="1:34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1819</v>
      </c>
      <c r="F1429" s="20" t="s">
        <v>1819</v>
      </c>
      <c r="G1429" s="20" t="s">
        <v>1819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1820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95.2727272727273</v>
      </c>
      <c r="X1429" s="32"/>
      <c r="Y1429" s="32">
        <f t="shared" si="152"/>
        <v>95.2727272727273</v>
      </c>
      <c r="Z1429" s="32">
        <f t="shared" si="158"/>
        <v>9.52727272727273</v>
      </c>
      <c r="AA1429" s="31">
        <v>1104.8</v>
      </c>
      <c r="AB1429" s="23">
        <v>0.165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ht="14.25" spans="1:34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1819</v>
      </c>
      <c r="F1430" s="20" t="s">
        <v>1819</v>
      </c>
      <c r="G1430" s="20" t="s">
        <v>1819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1820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ht="14.25" spans="1:34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1813</v>
      </c>
      <c r="F1431" s="20" t="s">
        <v>1821</v>
      </c>
      <c r="G1431" s="20" t="s">
        <v>1813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1812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ht="14.25" spans="1:34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1822</v>
      </c>
      <c r="F1432" s="20" t="s">
        <v>1822</v>
      </c>
      <c r="G1432" s="20" t="s">
        <v>1822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1822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ht="14.25" spans="1:34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1822</v>
      </c>
      <c r="F1433" s="20" t="s">
        <v>1822</v>
      </c>
      <c r="G1433" s="20" t="s">
        <v>1822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1823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</v>
      </c>
      <c r="U1433" s="32">
        <v>0</v>
      </c>
      <c r="V1433" s="32">
        <f t="shared" si="159"/>
        <v>59508.16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ht="14.25" spans="1:34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1822</v>
      </c>
      <c r="F1434" s="20" t="s">
        <v>1822</v>
      </c>
      <c r="G1434" s="20" t="s">
        <v>1822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1823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</v>
      </c>
      <c r="W1434" s="32">
        <f t="shared" si="160"/>
        <v>41158.9909090909</v>
      </c>
      <c r="X1434" s="32"/>
      <c r="Y1434" s="32">
        <f t="shared" si="152"/>
        <v>41158.9909090909</v>
      </c>
      <c r="Z1434" s="32">
        <f t="shared" si="158"/>
        <v>4115.89909090909</v>
      </c>
      <c r="AA1434" s="31">
        <v>0</v>
      </c>
      <c r="AB1434" s="23">
        <v>0.165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ht="14.25" spans="1:34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1824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</v>
      </c>
      <c r="U1435" s="32">
        <v>0</v>
      </c>
      <c r="V1435" s="32">
        <f t="shared" si="159"/>
        <v>0.909999999999854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ht="14.25" spans="1:34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1824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4405.05555555556</v>
      </c>
      <c r="X1436" s="32"/>
      <c r="Y1436" s="32">
        <f t="shared" si="152"/>
        <v>4405.05555555556</v>
      </c>
      <c r="Z1436" s="32">
        <f t="shared" si="158"/>
        <v>352.404444444444</v>
      </c>
      <c r="AA1436" s="31">
        <v>4757.46</v>
      </c>
      <c r="AB1436" s="23">
        <v>0.165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ht="14.25" spans="1:34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150.799999999999</v>
      </c>
      <c r="V1437" s="32">
        <f t="shared" si="159"/>
        <v>10049.2</v>
      </c>
      <c r="W1437" s="32">
        <f t="shared" si="160"/>
        <v>147.843137254901</v>
      </c>
      <c r="X1437" s="32"/>
      <c r="Y1437" s="32">
        <f t="shared" si="152"/>
        <v>147.843137254901</v>
      </c>
      <c r="Z1437" s="32">
        <f t="shared" si="158"/>
        <v>2.95686274509802</v>
      </c>
      <c r="AA1437" s="31">
        <v>10150.8</v>
      </c>
      <c r="AB1437" s="23">
        <v>0.165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ht="14.25" spans="1:34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ht="14.25" spans="1:34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</v>
      </c>
      <c r="X1439" s="32"/>
      <c r="Y1439" s="32">
        <f t="shared" ref="Y1439:Y1475" si="161">W1439+X1439</f>
        <v>9090.90909090909</v>
      </c>
      <c r="Z1439" s="32">
        <f t="shared" si="158"/>
        <v>909.09090909091</v>
      </c>
      <c r="AA1439" s="31">
        <v>0</v>
      </c>
      <c r="AB1439" s="23">
        <v>0.165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ht="14.25" spans="1:34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1825</v>
      </c>
      <c r="F1440" s="20" t="s">
        <v>1825</v>
      </c>
      <c r="G1440" s="20" t="s">
        <v>1826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1827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ht="14.25" spans="1:34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1825</v>
      </c>
      <c r="F1441" s="20" t="s">
        <v>1825</v>
      </c>
      <c r="G1441" s="20" t="s">
        <v>1826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1828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ht="14.25" spans="1:34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1829</v>
      </c>
      <c r="F1442" s="20" t="s">
        <v>1829</v>
      </c>
      <c r="G1442" s="20" t="s">
        <v>1829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1829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ht="14.25" spans="1:34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1817</v>
      </c>
      <c r="F1443" s="20" t="s">
        <v>1830</v>
      </c>
      <c r="G1443" s="20" t="s">
        <v>1817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1818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</v>
      </c>
      <c r="W1443" s="32">
        <f t="shared" si="160"/>
        <v>3936.6568627451</v>
      </c>
      <c r="X1443" s="32"/>
      <c r="Y1443" s="32">
        <f t="shared" si="161"/>
        <v>3936.6568627451</v>
      </c>
      <c r="Z1443" s="32">
        <f t="shared" si="158"/>
        <v>78.733137254902</v>
      </c>
      <c r="AA1443" s="31">
        <v>0</v>
      </c>
      <c r="AB1443" s="23">
        <v>0.165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ht="14.25" spans="1:34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1817</v>
      </c>
      <c r="F1444" s="20" t="s">
        <v>1830</v>
      </c>
      <c r="G1444" s="20" t="s">
        <v>1817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1817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</v>
      </c>
      <c r="X1444" s="32"/>
      <c r="Y1444" s="32">
        <f t="shared" si="161"/>
        <v>19212.0294117647</v>
      </c>
      <c r="Z1444" s="32">
        <f t="shared" si="158"/>
        <v>384.240588235294</v>
      </c>
      <c r="AA1444" s="31">
        <v>0</v>
      </c>
      <c r="AB1444" s="23">
        <v>0.165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ht="14.25" spans="1:34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ht="14.25" spans="1:34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1831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</v>
      </c>
      <c r="W1446" s="32">
        <f t="shared" si="160"/>
        <v>174188.039215686</v>
      </c>
      <c r="X1446" s="32"/>
      <c r="Y1446" s="32">
        <f t="shared" si="161"/>
        <v>174188.039215686</v>
      </c>
      <c r="Z1446" s="32">
        <f t="shared" si="158"/>
        <v>3483.76078431372</v>
      </c>
      <c r="AA1446" s="31">
        <v>177671.8</v>
      </c>
      <c r="AB1446" s="23">
        <v>0.165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ht="14.25" spans="1:34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0.00999999999999091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ht="14.25" spans="1:34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1832</v>
      </c>
      <c r="F1448" s="20" t="s">
        <v>1833</v>
      </c>
      <c r="G1448" s="20" t="s">
        <v>1832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1832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ht="14.25" spans="1:34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1832</v>
      </c>
      <c r="F1449" s="20" t="s">
        <v>1833</v>
      </c>
      <c r="G1449" s="20" t="s">
        <v>1832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1834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ht="14.25" spans="1:34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1835</v>
      </c>
      <c r="F1450" s="20" t="s">
        <v>1835</v>
      </c>
      <c r="G1450" s="20" t="s">
        <v>1835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1836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ht="14.25" spans="1:34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1837</v>
      </c>
      <c r="F1451" s="20" t="s">
        <v>1837</v>
      </c>
      <c r="G1451" s="20" t="s">
        <v>1837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1837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ht="14.25" spans="1:34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1838</v>
      </c>
      <c r="F1452" s="20" t="s">
        <v>1838</v>
      </c>
      <c r="G1452" s="20" t="s">
        <v>1838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1839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3.97999999999956</v>
      </c>
      <c r="T1452" s="31"/>
      <c r="U1452" s="32">
        <v>0</v>
      </c>
      <c r="V1452" s="32">
        <f t="shared" si="162"/>
        <v>3.97999999999956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ht="14.25" spans="1:34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1838</v>
      </c>
      <c r="F1453" s="20" t="s">
        <v>1838</v>
      </c>
      <c r="G1453" s="20" t="s">
        <v>1838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1839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</v>
      </c>
      <c r="X1453" s="32"/>
      <c r="Y1453" s="32">
        <f t="shared" si="161"/>
        <v>476.190476190476</v>
      </c>
      <c r="Z1453" s="32">
        <f t="shared" si="158"/>
        <v>23.8095238095239</v>
      </c>
      <c r="AA1453" s="31">
        <v>3757.2</v>
      </c>
      <c r="AB1453" s="23">
        <v>0.165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ht="14.25" spans="1:34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1839</v>
      </c>
      <c r="F1454" s="20" t="s">
        <v>1839</v>
      </c>
      <c r="G1454" s="20" t="s">
        <v>1839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1839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ht="14.25" spans="1:34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1840</v>
      </c>
      <c r="F1455" s="20" t="s">
        <v>1840</v>
      </c>
      <c r="G1455" s="20" t="s">
        <v>1840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1841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</v>
      </c>
      <c r="X1455" s="32"/>
      <c r="Y1455" s="32">
        <f t="shared" si="161"/>
        <v>16934.1176470588</v>
      </c>
      <c r="Z1455" s="32">
        <f t="shared" si="158"/>
        <v>338.682352941178</v>
      </c>
      <c r="AA1455" s="31">
        <v>17272.8</v>
      </c>
      <c r="AB1455" s="23">
        <v>0.165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ht="14.25" spans="1:34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1842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ht="14.25" spans="1:34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1842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ht="14.25" spans="1:34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1843</v>
      </c>
      <c r="F1458" s="20" t="s">
        <v>1843</v>
      </c>
      <c r="G1458" s="20" t="s">
        <v>1843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1844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ht="14.25" spans="1:34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ht="14.25" spans="1:34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10361.97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ht="14.25" spans="1:34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1765</v>
      </c>
      <c r="F1461" s="20" t="s">
        <v>1845</v>
      </c>
      <c r="G1461" s="20" t="s">
        <v>1765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1846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ht="14.25" spans="1:34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1847</v>
      </c>
      <c r="F1462" s="20" t="s">
        <v>1847</v>
      </c>
      <c r="G1462" s="20" t="s">
        <v>1847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1847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ht="14.25" spans="1:34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1848</v>
      </c>
      <c r="F1463" s="20" t="s">
        <v>1848</v>
      </c>
      <c r="G1463" s="20" t="s">
        <v>1848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1849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ht="14.25" spans="1:34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1848</v>
      </c>
      <c r="F1464" s="20" t="s">
        <v>1848</v>
      </c>
      <c r="G1464" s="20" t="s">
        <v>1848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1850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ht="14.25" spans="1:34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1848</v>
      </c>
      <c r="F1465" s="20" t="s">
        <v>1848</v>
      </c>
      <c r="G1465" s="20" t="s">
        <v>1848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1848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ht="14.25" spans="1:34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1851</v>
      </c>
      <c r="F1466" s="20" t="s">
        <v>1852</v>
      </c>
      <c r="G1466" s="20" t="s">
        <v>1851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1851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ht="14.25" spans="1:34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1853</v>
      </c>
      <c r="F1467" s="20" t="s">
        <v>1853</v>
      </c>
      <c r="G1467" s="20" t="s">
        <v>1853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1854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</v>
      </c>
      <c r="W1467" s="32">
        <f t="shared" si="160"/>
        <v>16963.9215686275</v>
      </c>
      <c r="X1467" s="32"/>
      <c r="Y1467" s="32">
        <f t="shared" si="161"/>
        <v>16963.9215686275</v>
      </c>
      <c r="Z1467" s="32">
        <f t="shared" si="158"/>
        <v>339.27843137255</v>
      </c>
      <c r="AA1467" s="31">
        <v>46629.92</v>
      </c>
      <c r="AB1467" s="23">
        <v>0.165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ht="14.25" spans="1:34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1853</v>
      </c>
      <c r="F1468" s="20" t="s">
        <v>1853</v>
      </c>
      <c r="G1468" s="20" t="s">
        <v>1853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1854</v>
      </c>
      <c r="M1468" s="20"/>
      <c r="N1468" s="20" t="s">
        <v>42</v>
      </c>
      <c r="O1468" s="20" t="s">
        <v>43</v>
      </c>
      <c r="P1468" s="23">
        <v>0.07</v>
      </c>
      <c r="Q1468" s="29">
        <v>6986</v>
      </c>
      <c r="R1468" s="30"/>
      <c r="S1468" s="31">
        <v>9979.60000000001</v>
      </c>
      <c r="T1468" s="31">
        <v>-9979.6</v>
      </c>
      <c r="U1468" s="32">
        <v>0</v>
      </c>
      <c r="V1468" s="32">
        <f t="shared" si="163"/>
        <v>9.09494701772928e-12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ht="14.25" spans="1:34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1853</v>
      </c>
      <c r="F1469" s="20" t="s">
        <v>1853</v>
      </c>
      <c r="G1469" s="20" t="s">
        <v>1853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1854</v>
      </c>
      <c r="M1469" s="20"/>
      <c r="N1469" s="20" t="s">
        <v>42</v>
      </c>
      <c r="O1469" s="20" t="s">
        <v>43</v>
      </c>
      <c r="P1469" s="23">
        <v>0.07</v>
      </c>
      <c r="Q1469" s="29">
        <v>7194</v>
      </c>
      <c r="R1469" s="30"/>
      <c r="S1469" s="31">
        <v>5000</v>
      </c>
      <c r="T1469" s="31">
        <v>4326.72</v>
      </c>
      <c r="U1469" s="32">
        <v>9326.72</v>
      </c>
      <c r="V1469" s="32">
        <f t="shared" si="163"/>
        <v>0</v>
      </c>
      <c r="W1469" s="32">
        <f t="shared" si="160"/>
        <v>8716.56074766355</v>
      </c>
      <c r="X1469" s="32"/>
      <c r="Y1469" s="32">
        <f t="shared" si="161"/>
        <v>8716.56074766355</v>
      </c>
      <c r="Z1469" s="32">
        <f t="shared" si="158"/>
        <v>610.159252336449</v>
      </c>
      <c r="AA1469" s="31">
        <v>0</v>
      </c>
      <c r="AB1469" s="23">
        <v>0.165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ht="14.25" spans="1:34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1853</v>
      </c>
      <c r="F1470" s="20" t="s">
        <v>1853</v>
      </c>
      <c r="G1470" s="20" t="s">
        <v>1853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1854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ht="14.25" spans="1:34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ht="14.25" spans="1:34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1855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2112.2</v>
      </c>
      <c r="T1472" s="31">
        <v>-2137.7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ht="14.25" spans="1:34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1856</v>
      </c>
      <c r="F1473" s="20" t="s">
        <v>1856</v>
      </c>
      <c r="G1473" s="20" t="s">
        <v>1856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1856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ht="14.25" spans="1:34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1856</v>
      </c>
      <c r="F1474" s="20" t="s">
        <v>1856</v>
      </c>
      <c r="G1474" s="20" t="s">
        <v>1856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1856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ht="14.25" spans="1:34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1857</v>
      </c>
      <c r="F1475" s="20" t="s">
        <v>1857</v>
      </c>
      <c r="G1475" s="20" t="s">
        <v>1857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1857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ht="14.25" spans="1:34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1858</v>
      </c>
      <c r="F1476" s="20" t="s">
        <v>1858</v>
      </c>
      <c r="G1476" s="20" t="s">
        <v>1858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1859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5149.8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ht="14.25" spans="1:34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1858</v>
      </c>
      <c r="F1477" s="20" t="s">
        <v>1858</v>
      </c>
      <c r="G1477" s="20" t="s">
        <v>1858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1860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</v>
      </c>
      <c r="V1477" s="32">
        <f t="shared" si="164"/>
        <v>0</v>
      </c>
      <c r="W1477" s="32">
        <f t="shared" si="160"/>
        <v>2130.76</v>
      </c>
      <c r="X1477" s="32"/>
      <c r="Y1477" s="32"/>
      <c r="Z1477" s="32">
        <f t="shared" ref="Z1477:Z1504" si="165">U1477-W1477</f>
        <v>0</v>
      </c>
      <c r="AA1477" s="31">
        <v>2130.76</v>
      </c>
      <c r="AB1477" s="23">
        <v>0.165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ht="14.25" spans="1:34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1858</v>
      </c>
      <c r="F1478" s="20" t="s">
        <v>1858</v>
      </c>
      <c r="G1478" s="20" t="s">
        <v>1858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1861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3170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ht="14.25" spans="1:34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1858</v>
      </c>
      <c r="F1479" s="20" t="s">
        <v>1858</v>
      </c>
      <c r="G1479" s="20" t="s">
        <v>1858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1862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ht="14.25" spans="1:34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-5.39999999999964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ht="14.25" spans="1:34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1863</v>
      </c>
      <c r="F1481" s="20" t="s">
        <v>1863</v>
      </c>
      <c r="G1481" s="20" t="s">
        <v>1863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1864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ht="14.25" spans="1:34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1865</v>
      </c>
      <c r="F1482" s="20" t="s">
        <v>1865</v>
      </c>
      <c r="G1482" s="20" t="s">
        <v>1865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1866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</v>
      </c>
      <c r="T1482" s="31"/>
      <c r="U1482" s="32">
        <v>0</v>
      </c>
      <c r="V1482" s="32">
        <f t="shared" si="167"/>
        <v>2.2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ht="14.25" spans="1:34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ht="14.25" spans="1:34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ht="14.25" spans="1:34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1867</v>
      </c>
      <c r="F1485" s="20" t="s">
        <v>1867</v>
      </c>
      <c r="G1485" s="20" t="s">
        <v>1867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1867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0.399999999997817</v>
      </c>
      <c r="T1485" s="31"/>
      <c r="U1485" s="31">
        <v>0.399999999997817</v>
      </c>
      <c r="V1485" s="32">
        <v>0</v>
      </c>
      <c r="W1485" s="32">
        <f t="shared" si="160"/>
        <v>0.380952380950302</v>
      </c>
      <c r="X1485" s="32"/>
      <c r="Y1485" s="32">
        <f t="shared" si="166"/>
        <v>0.380952380950302</v>
      </c>
      <c r="Z1485" s="32">
        <f t="shared" si="165"/>
        <v>0.0190476190475151</v>
      </c>
      <c r="AA1485" s="31">
        <v>0</v>
      </c>
      <c r="AB1485" s="23">
        <v>0.165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ht="14.25" spans="1:34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1867</v>
      </c>
      <c r="F1486" s="20" t="s">
        <v>1867</v>
      </c>
      <c r="G1486" s="20" t="s">
        <v>1867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1867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-0.399999999997817</v>
      </c>
      <c r="V1486" s="32">
        <v>0</v>
      </c>
      <c r="W1486" s="32">
        <f t="shared" si="160"/>
        <v>-0.399999999997817</v>
      </c>
      <c r="X1486" s="32"/>
      <c r="Y1486" s="32">
        <f t="shared" si="166"/>
        <v>-0.399999999997817</v>
      </c>
      <c r="Z1486" s="32">
        <f t="shared" si="165"/>
        <v>0</v>
      </c>
      <c r="AA1486" s="31">
        <v>0</v>
      </c>
      <c r="AB1486" s="23">
        <v>0.165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ht="14.25" spans="1:34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1867</v>
      </c>
      <c r="F1487" s="20" t="s">
        <v>1867</v>
      </c>
      <c r="G1487" s="20" t="s">
        <v>1867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1867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ht="14.25" spans="1:34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1868</v>
      </c>
      <c r="F1488" s="20" t="s">
        <v>1869</v>
      </c>
      <c r="G1488" s="20" t="s">
        <v>1868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1870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ht="14.25" spans="1:34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1868</v>
      </c>
      <c r="F1489" s="20" t="s">
        <v>1869</v>
      </c>
      <c r="G1489" s="20" t="s">
        <v>1868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1871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ht="14.25" spans="1:34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1872</v>
      </c>
      <c r="F1490" s="20" t="s">
        <v>1872</v>
      </c>
      <c r="G1490" s="20" t="s">
        <v>1872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1872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</v>
      </c>
      <c r="T1490" s="31">
        <v>-48532.8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ht="14.25" spans="1:34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1873</v>
      </c>
      <c r="F1491" s="20" t="s">
        <v>1873</v>
      </c>
      <c r="G1491" s="20" t="s">
        <v>1873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1873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ht="14.25" spans="1:34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</v>
      </c>
      <c r="T1492" s="31">
        <v>-80929.65</v>
      </c>
      <c r="U1492" s="32">
        <v>0</v>
      </c>
      <c r="V1492" s="32">
        <f t="shared" si="168"/>
        <v>67.1500000000087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ht="14.25" spans="1:34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1874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ht="14.25" spans="1:34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1875</v>
      </c>
      <c r="F1494" s="20" t="s">
        <v>1875</v>
      </c>
      <c r="G1494" s="20" t="s">
        <v>1875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1875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ht="14.25" spans="1:34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1876</v>
      </c>
      <c r="F1495" s="20" t="s">
        <v>1876</v>
      </c>
      <c r="G1495" s="20" t="s">
        <v>1876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1877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ht="14.25" spans="1:34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1878</v>
      </c>
      <c r="F1496" s="20" t="s">
        <v>1878</v>
      </c>
      <c r="G1496" s="20" t="s">
        <v>1878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1879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ht="14.25" spans="1:34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1878</v>
      </c>
      <c r="F1497" s="20" t="s">
        <v>1878</v>
      </c>
      <c r="G1497" s="20" t="s">
        <v>1878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1879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ht="14.25" spans="1:34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1878</v>
      </c>
      <c r="F1498" s="20" t="s">
        <v>1878</v>
      </c>
      <c r="G1498" s="20" t="s">
        <v>1878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1880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ht="14.25" spans="1:34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1878</v>
      </c>
      <c r="F1499" s="20" t="s">
        <v>1878</v>
      </c>
      <c r="G1499" s="20" t="s">
        <v>1878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1880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ht="14.25" spans="1:34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1881</v>
      </c>
      <c r="F1500" s="20" t="s">
        <v>1881</v>
      </c>
      <c r="G1500" s="20" t="s">
        <v>1881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1881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ht="14.25" spans="1:34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1881</v>
      </c>
      <c r="F1501" s="20" t="s">
        <v>1881</v>
      </c>
      <c r="G1501" s="20" t="s">
        <v>1881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1881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ht="14.25" spans="1:34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1882</v>
      </c>
      <c r="F1502" s="20" t="s">
        <v>1882</v>
      </c>
      <c r="G1502" s="20" t="s">
        <v>1882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1882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ht="14.25" spans="1:34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ht="14.25" spans="1:34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1883</v>
      </c>
      <c r="F1504" s="20" t="s">
        <v>1884</v>
      </c>
      <c r="G1504" s="20" t="s">
        <v>1883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1885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ht="14.25" spans="1:34">
      <c r="A1505" s="19">
        <v>43831</v>
      </c>
      <c r="B1505" s="20" t="s">
        <v>507</v>
      </c>
      <c r="C1505" s="20" t="s">
        <v>1332</v>
      </c>
      <c r="D1505" s="20" t="s">
        <v>1886</v>
      </c>
      <c r="E1505" s="20" t="s">
        <v>1887</v>
      </c>
      <c r="F1505" s="20" t="s">
        <v>1887</v>
      </c>
      <c r="G1505" s="20" t="s">
        <v>1887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1887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</v>
      </c>
      <c r="T1505" s="31">
        <v>-9780.2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ht="14.25" spans="1:34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1878</v>
      </c>
      <c r="F1506" s="20" t="s">
        <v>1888</v>
      </c>
      <c r="G1506" s="20" t="s">
        <v>1878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1889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ht="14.25" spans="1:34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1890</v>
      </c>
      <c r="F1507" s="20" t="s">
        <v>1890</v>
      </c>
      <c r="G1507" s="20" t="s">
        <v>1890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1890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ht="14.25" spans="1:34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1891</v>
      </c>
      <c r="F1508" s="20" t="s">
        <v>1891</v>
      </c>
      <c r="G1508" s="20" t="s">
        <v>1891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1891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23456.568627451</v>
      </c>
      <c r="X1508" s="32"/>
      <c r="Y1508" s="32">
        <f t="shared" si="170"/>
        <v>23456.568627451</v>
      </c>
      <c r="Z1508" s="32">
        <f t="shared" si="172"/>
        <v>469.131372549022</v>
      </c>
      <c r="AA1508" s="31">
        <v>23925.7</v>
      </c>
      <c r="AB1508" s="23">
        <v>0.165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ht="14.25" spans="1:34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1891</v>
      </c>
      <c r="F1509" s="20" t="s">
        <v>1891</v>
      </c>
      <c r="G1509" s="20" t="s">
        <v>1891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1891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ht="14.25" spans="1:34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1892</v>
      </c>
      <c r="F1510" s="20" t="s">
        <v>1893</v>
      </c>
      <c r="G1510" s="20" t="s">
        <v>1892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1894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</v>
      </c>
      <c r="X1510" s="32"/>
      <c r="Y1510" s="32">
        <f t="shared" si="170"/>
        <v>14986.3725490196</v>
      </c>
      <c r="Z1510" s="32">
        <f t="shared" si="172"/>
        <v>299.727450980392</v>
      </c>
      <c r="AA1510" s="31">
        <v>15286.1</v>
      </c>
      <c r="AB1510" s="23">
        <v>0.165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ht="14.25" spans="1:34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1895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ht="14.25" spans="1:34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1895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2356.49</v>
      </c>
      <c r="U1512" s="32">
        <v>2356.49</v>
      </c>
      <c r="V1512" s="32">
        <f t="shared" si="173"/>
        <v>0</v>
      </c>
      <c r="W1512" s="32">
        <f t="shared" si="169"/>
        <v>2244.27619047619</v>
      </c>
      <c r="X1512" s="32"/>
      <c r="Y1512" s="32">
        <f t="shared" si="170"/>
        <v>2244.27619047619</v>
      </c>
      <c r="Z1512" s="32">
        <f t="shared" si="172"/>
        <v>112.21380952381</v>
      </c>
      <c r="AA1512" s="31">
        <v>41656.1</v>
      </c>
      <c r="AB1512" s="23">
        <v>0.165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ht="14.25" spans="1:34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1895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ht="14.25" spans="1:34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1896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ht="14.25" spans="1:34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1897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165023.29</v>
      </c>
      <c r="W1515" s="32">
        <f t="shared" si="169"/>
        <v>393185.103773585</v>
      </c>
      <c r="X1515" s="32"/>
      <c r="Y1515" s="32">
        <f t="shared" si="170"/>
        <v>393185.103773585</v>
      </c>
      <c r="Z1515" s="32">
        <f t="shared" si="172"/>
        <v>23591.1062264151</v>
      </c>
      <c r="AA1515" s="31">
        <v>416776.21</v>
      </c>
      <c r="AB1515" s="23">
        <v>0.165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ht="14.25" spans="1:34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1897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ht="14.25" spans="1:34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1898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ht="14.25" spans="1:34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1899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ht="14.25" spans="1:34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1899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ht="14.25" spans="1:34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76856.27</v>
      </c>
      <c r="W1520" s="32">
        <f t="shared" si="169"/>
        <v>206565.805825243</v>
      </c>
      <c r="X1520" s="32"/>
      <c r="Y1520" s="32">
        <f t="shared" si="170"/>
        <v>206565.805825243</v>
      </c>
      <c r="Z1520" s="32">
        <f t="shared" si="172"/>
        <v>6196.97417475728</v>
      </c>
      <c r="AA1520" s="31">
        <v>0</v>
      </c>
      <c r="AB1520" s="23">
        <v>0.165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ht="14.25" spans="1:34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1900</v>
      </c>
      <c r="F1521" s="20" t="s">
        <v>1900</v>
      </c>
      <c r="G1521" s="20" t="s">
        <v>1900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1900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ht="14.25" spans="1:34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1900</v>
      </c>
      <c r="F1522" s="20" t="s">
        <v>1900</v>
      </c>
      <c r="G1522" s="20" t="s">
        <v>1900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1901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ht="14.25" spans="1:34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1902</v>
      </c>
      <c r="F1523" s="20" t="s">
        <v>1902</v>
      </c>
      <c r="G1523" s="20" t="s">
        <v>1902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1903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ht="14.25" spans="1:34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1902</v>
      </c>
      <c r="F1524" s="20" t="s">
        <v>1902</v>
      </c>
      <c r="G1524" s="20" t="s">
        <v>1902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1903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ht="14.25" spans="1:34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1904</v>
      </c>
      <c r="F1525" s="20" t="s">
        <v>1904</v>
      </c>
      <c r="G1525" s="20" t="s">
        <v>1904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1905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ht="14.25" spans="1:34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1904</v>
      </c>
      <c r="F1526" s="20" t="s">
        <v>1904</v>
      </c>
      <c r="G1526" s="20" t="s">
        <v>1904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1905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ht="14.25" spans="1:34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1904</v>
      </c>
      <c r="F1527" s="20" t="s">
        <v>1904</v>
      </c>
      <c r="G1527" s="20" t="s">
        <v>1904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1906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ht="14.25" spans="1:34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1907</v>
      </c>
      <c r="F1528" s="20" t="s">
        <v>1908</v>
      </c>
      <c r="G1528" s="20" t="s">
        <v>1907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1909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ht="14.25" spans="1:34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1907</v>
      </c>
      <c r="F1529" s="20" t="s">
        <v>1908</v>
      </c>
      <c r="G1529" s="20" t="s">
        <v>1907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1909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</v>
      </c>
      <c r="W1529" s="32">
        <f t="shared" si="169"/>
        <v>32206.1851851852</v>
      </c>
      <c r="X1529" s="32"/>
      <c r="Y1529" s="32">
        <f t="shared" si="174"/>
        <v>32206.1851851852</v>
      </c>
      <c r="Z1529" s="32">
        <f t="shared" si="172"/>
        <v>2576.49481481482</v>
      </c>
      <c r="AA1529" s="31">
        <v>34782.68</v>
      </c>
      <c r="AB1529" s="23">
        <v>0.165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ht="14.25" spans="1:34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1910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1911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164397.549019608</v>
      </c>
      <c r="X1530" s="32"/>
      <c r="Y1530" s="32">
        <f t="shared" si="174"/>
        <v>164397.549019608</v>
      </c>
      <c r="Z1530" s="32">
        <f t="shared" si="172"/>
        <v>3287.95098039217</v>
      </c>
      <c r="AA1530" s="31">
        <v>167685.5</v>
      </c>
      <c r="AB1530" s="23">
        <v>0.165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ht="14.25" spans="1:34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-38.4000000000015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ht="14.25" spans="1:34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ht="14.25" spans="1:34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1912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ht="14.25" spans="1:34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1912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ht="14.25" spans="1:34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1913</v>
      </c>
      <c r="F1535" s="20" t="s">
        <v>1913</v>
      </c>
      <c r="G1535" s="20" t="s">
        <v>1913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1914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19.65</v>
      </c>
      <c r="T1535" s="31">
        <v>-19.65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ht="14.25" spans="1:34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1915</v>
      </c>
      <c r="F1536" s="20" t="s">
        <v>1915</v>
      </c>
      <c r="G1536" s="20" t="s">
        <v>1915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1916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ht="14.25" spans="1:34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1915</v>
      </c>
      <c r="F1537" s="20" t="s">
        <v>1915</v>
      </c>
      <c r="G1537" s="20" t="s">
        <v>1915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1917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ht="14.25" spans="1:34">
      <c r="A1538" s="19">
        <v>43831</v>
      </c>
      <c r="B1538" s="20" t="s">
        <v>1918</v>
      </c>
      <c r="C1538" s="20" t="s">
        <v>650</v>
      </c>
      <c r="D1538" s="20" t="s">
        <v>859</v>
      </c>
      <c r="E1538" s="20" t="s">
        <v>1919</v>
      </c>
      <c r="F1538" s="20" t="s">
        <v>1920</v>
      </c>
      <c r="G1538" s="20" t="s">
        <v>1921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1922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ht="14.25" spans="1:34">
      <c r="A1539" s="19">
        <v>43831</v>
      </c>
      <c r="B1539" s="20" t="s">
        <v>1918</v>
      </c>
      <c r="C1539" s="20" t="s">
        <v>650</v>
      </c>
      <c r="D1539" s="20" t="s">
        <v>859</v>
      </c>
      <c r="E1539" s="20" t="s">
        <v>1919</v>
      </c>
      <c r="F1539" s="20" t="s">
        <v>1920</v>
      </c>
      <c r="G1539" s="20" t="s">
        <v>1921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1923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ht="14.25" spans="1:34">
      <c r="A1540" s="19">
        <v>43831</v>
      </c>
      <c r="B1540" s="20" t="s">
        <v>1924</v>
      </c>
      <c r="C1540" s="20" t="s">
        <v>190</v>
      </c>
      <c r="D1540" s="20" t="s">
        <v>366</v>
      </c>
      <c r="E1540" s="20" t="s">
        <v>1925</v>
      </c>
      <c r="F1540" s="20" t="s">
        <v>1926</v>
      </c>
      <c r="G1540" s="20" t="s">
        <v>1927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1928</v>
      </c>
      <c r="R1540" s="39"/>
      <c r="S1540" s="31">
        <v>-9999.95</v>
      </c>
      <c r="T1540" s="31"/>
      <c r="U1540" s="32">
        <v>0</v>
      </c>
      <c r="V1540" s="32">
        <f t="shared" si="176"/>
        <v>-9999.95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ht="14.25" spans="1:34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1929</v>
      </c>
      <c r="G1541" s="20" t="s">
        <v>1927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1930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</v>
      </c>
      <c r="X1541" s="32"/>
      <c r="Y1541" s="32">
        <f t="shared" si="177"/>
        <v>6789.90196078431</v>
      </c>
      <c r="Z1541" s="32">
        <f t="shared" si="172"/>
        <v>135.798039215686</v>
      </c>
      <c r="AA1541" s="31">
        <v>0</v>
      </c>
      <c r="AB1541" s="23">
        <v>0.165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ht="14.25" spans="1:34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1929</v>
      </c>
      <c r="G1542" s="20" t="s">
        <v>1927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1930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ht="14.25" spans="1:34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ht="14.25" spans="1:34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1931</v>
      </c>
      <c r="F1544" s="20" t="s">
        <v>1932</v>
      </c>
      <c r="G1544" s="20" t="s">
        <v>1927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0.07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ht="14.25" spans="1:34">
      <c r="A1545" s="19">
        <v>43831</v>
      </c>
      <c r="B1545" s="20" t="s">
        <v>1933</v>
      </c>
      <c r="C1545" s="20" t="s">
        <v>35</v>
      </c>
      <c r="D1545" s="20" t="s">
        <v>36</v>
      </c>
      <c r="E1545" s="20" t="s">
        <v>1934</v>
      </c>
      <c r="F1545" s="20" t="s">
        <v>1935</v>
      </c>
      <c r="G1545" s="20" t="s">
        <v>1936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1937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0.065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ht="14.25" spans="1:34">
      <c r="A1546" s="19">
        <v>43831</v>
      </c>
      <c r="B1546" s="20" t="s">
        <v>1933</v>
      </c>
      <c r="C1546" s="20" t="s">
        <v>35</v>
      </c>
      <c r="D1546" s="20" t="s">
        <v>1938</v>
      </c>
      <c r="E1546" s="20" t="s">
        <v>1939</v>
      </c>
      <c r="F1546" s="20" t="s">
        <v>1940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1939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ht="14.25" spans="1:34">
      <c r="A1547" s="19">
        <v>43831</v>
      </c>
      <c r="B1547" s="20" t="s">
        <v>1933</v>
      </c>
      <c r="C1547" s="20" t="s">
        <v>190</v>
      </c>
      <c r="D1547" s="20" t="s">
        <v>366</v>
      </c>
      <c r="E1547" s="20" t="s">
        <v>1941</v>
      </c>
      <c r="F1547" s="20" t="s">
        <v>1942</v>
      </c>
      <c r="G1547" s="20" t="s">
        <v>1943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1941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ht="14.25" spans="1:34">
      <c r="A1548" s="19">
        <v>43831</v>
      </c>
      <c r="B1548" s="20" t="s">
        <v>1933</v>
      </c>
      <c r="C1548" s="20" t="s">
        <v>650</v>
      </c>
      <c r="D1548" s="20" t="s">
        <v>714</v>
      </c>
      <c r="E1548" s="20" t="s">
        <v>1944</v>
      </c>
      <c r="F1548" s="20" t="s">
        <v>1945</v>
      </c>
      <c r="G1548" s="20" t="s">
        <v>1936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1946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ht="14.25" spans="1:34">
      <c r="A1549" s="19">
        <v>43831</v>
      </c>
      <c r="B1549" s="20" t="s">
        <v>1933</v>
      </c>
      <c r="C1549" s="20" t="s">
        <v>910</v>
      </c>
      <c r="D1549" s="20" t="s">
        <v>911</v>
      </c>
      <c r="E1549" s="20" t="s">
        <v>1947</v>
      </c>
      <c r="F1549" s="20" t="s">
        <v>1948</v>
      </c>
      <c r="G1549" s="20" t="s">
        <v>1936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1949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0.065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ht="14.25" spans="1:34">
      <c r="A1550" s="19">
        <v>43831</v>
      </c>
      <c r="B1550" s="20" t="s">
        <v>1933</v>
      </c>
      <c r="C1550" s="20" t="s">
        <v>910</v>
      </c>
      <c r="D1550" s="20" t="s">
        <v>642</v>
      </c>
      <c r="E1550" s="20" t="s">
        <v>1950</v>
      </c>
      <c r="F1550" s="20" t="s">
        <v>1951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1952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0.065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ht="14.25" spans="1:34">
      <c r="A1551" s="19">
        <v>43831</v>
      </c>
      <c r="B1551" s="20" t="s">
        <v>1933</v>
      </c>
      <c r="C1551" s="20" t="s">
        <v>1074</v>
      </c>
      <c r="D1551" s="20" t="s">
        <v>1075</v>
      </c>
      <c r="E1551" s="20" t="s">
        <v>1953</v>
      </c>
      <c r="F1551" s="20" t="s">
        <v>1954</v>
      </c>
      <c r="G1551" s="20" t="s">
        <v>1943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1955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ht="14.25" spans="1:34">
      <c r="A1552" s="19">
        <v>43831</v>
      </c>
      <c r="B1552" s="20" t="s">
        <v>1933</v>
      </c>
      <c r="C1552" s="20" t="s">
        <v>1074</v>
      </c>
      <c r="D1552" s="20" t="s">
        <v>1075</v>
      </c>
      <c r="E1552" s="20" t="s">
        <v>1956</v>
      </c>
      <c r="F1552" s="20" t="s">
        <v>1957</v>
      </c>
      <c r="G1552" s="20" t="s">
        <v>1943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1956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ht="14.25" spans="1:34">
      <c r="A1553" s="19">
        <v>43831</v>
      </c>
      <c r="B1553" s="20" t="s">
        <v>1933</v>
      </c>
      <c r="C1553" s="20" t="s">
        <v>1332</v>
      </c>
      <c r="D1553" s="20" t="s">
        <v>1443</v>
      </c>
      <c r="E1553" s="20" t="s">
        <v>1958</v>
      </c>
      <c r="F1553" s="20" t="s">
        <v>1959</v>
      </c>
      <c r="G1553" s="20" t="s">
        <v>1936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1958</v>
      </c>
      <c r="M1553" s="23"/>
      <c r="N1553" s="20" t="s">
        <v>42</v>
      </c>
      <c r="O1553" s="20" t="s">
        <v>43</v>
      </c>
      <c r="P1553" s="23">
        <v>0.02</v>
      </c>
      <c r="Q1553" s="29" t="s">
        <v>1960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ht="14.25" spans="1:34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1776</v>
      </c>
      <c r="F1554" s="20" t="s">
        <v>1961</v>
      </c>
      <c r="G1554" s="20" t="s">
        <v>1776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1962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0.065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ht="14.25" spans="1:34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1963</v>
      </c>
      <c r="F1555" s="20" t="s">
        <v>1963</v>
      </c>
      <c r="G1555" s="20" t="s">
        <v>1963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1964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0.065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ht="14.25" spans="1:34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1965</v>
      </c>
      <c r="F1556" s="20" t="s">
        <v>1965</v>
      </c>
      <c r="G1556" s="20" t="s">
        <v>1965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1966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</v>
      </c>
      <c r="T1556" s="31"/>
      <c r="U1556" s="32">
        <v>0</v>
      </c>
      <c r="V1556" s="32">
        <f t="shared" si="178"/>
        <v>2.45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0.065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ht="14.25" spans="1:34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1967</v>
      </c>
      <c r="F1557" s="20" t="s">
        <v>1967</v>
      </c>
      <c r="G1557" s="20" t="s">
        <v>1967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1968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0.065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ht="14.25" spans="1:34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1967</v>
      </c>
      <c r="F1558" s="20" t="s">
        <v>1967</v>
      </c>
      <c r="G1558" s="20" t="s">
        <v>1967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1969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</v>
      </c>
      <c r="T1558" s="31"/>
      <c r="U1558" s="32">
        <v>0</v>
      </c>
      <c r="V1558" s="32">
        <f t="shared" si="178"/>
        <v>2298.78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0.065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ht="14.25" spans="1:34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1970</v>
      </c>
      <c r="F1559" s="20" t="s">
        <v>1971</v>
      </c>
      <c r="G1559" s="20" t="s">
        <v>1971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1972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0.065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ht="14.25" spans="1:34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1973</v>
      </c>
      <c r="F1560" s="20" t="s">
        <v>1973</v>
      </c>
      <c r="G1560" s="20" t="s">
        <v>1973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1974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2383.95</v>
      </c>
      <c r="T1560" s="31"/>
      <c r="U1560" s="32">
        <v>0</v>
      </c>
      <c r="V1560" s="32">
        <f t="shared" si="178"/>
        <v>2383.95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0.065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ht="14.25" spans="1:34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1975</v>
      </c>
      <c r="F1561" s="20" t="s">
        <v>1975</v>
      </c>
      <c r="G1561" s="20" t="s">
        <v>1975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1976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0.065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ht="14.25" spans="1:34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1977</v>
      </c>
      <c r="F1562" s="20" t="s">
        <v>1977</v>
      </c>
      <c r="G1562" s="20" t="s">
        <v>1977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1978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0.065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ht="14.25" spans="1:34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1979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0.065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ht="14.25" spans="1:34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1980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0.065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ht="14.25" spans="1:34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1981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0.065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ht="14.25" spans="1:34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1982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0.065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ht="14.25" spans="1:34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1983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0.065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ht="14.25" spans="1:34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1984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0.065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ht="14.25" spans="1:34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1985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0.065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ht="14.25" spans="1:34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1986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0.065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ht="14.25" spans="1:34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1987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9963.3</v>
      </c>
      <c r="T1571" s="31"/>
      <c r="U1571" s="32">
        <v>0</v>
      </c>
      <c r="V1571" s="32">
        <f t="shared" si="178"/>
        <v>9963.3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0.065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ht="14.25" spans="1:34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1988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0.065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ht="14.25" spans="1:34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1989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0.065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ht="14.25" spans="1:34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1990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0.065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ht="14.25" spans="1:34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1991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0.065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ht="14.25" spans="1:34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1992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0.065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ht="14.25" spans="1:34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1993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</v>
      </c>
      <c r="T1577" s="31"/>
      <c r="U1577" s="32">
        <v>0</v>
      </c>
      <c r="V1577" s="32">
        <f t="shared" si="178"/>
        <v>606.33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0.065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ht="14.25" spans="1:34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1994</v>
      </c>
      <c r="F1578" s="20" t="s">
        <v>1994</v>
      </c>
      <c r="G1578" s="20" t="s">
        <v>1994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1995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0.065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ht="14.25" spans="1:34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1996</v>
      </c>
      <c r="F1579" s="20" t="s">
        <v>1996</v>
      </c>
      <c r="G1579" s="20" t="s">
        <v>1996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1997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0.065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ht="14.25" spans="1:34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ht="14.25" spans="1:34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1998</v>
      </c>
      <c r="F1581" s="20" t="s">
        <v>1998</v>
      </c>
      <c r="G1581" s="20" t="s">
        <v>1998</v>
      </c>
      <c r="H1581" s="20" t="s">
        <v>1999</v>
      </c>
      <c r="I1581" s="20" t="s">
        <v>2000</v>
      </c>
      <c r="J1581" s="20" t="s">
        <v>2001</v>
      </c>
      <c r="K1581" s="20" t="str">
        <f>VLOOKUP(H1581,[1]媒体表!C:T,18,0)</f>
        <v>北京多彩</v>
      </c>
      <c r="L1581" s="20" t="s">
        <v>1998</v>
      </c>
      <c r="M1581" s="20"/>
      <c r="N1581" s="20" t="s">
        <v>42</v>
      </c>
      <c r="O1581" s="20" t="s">
        <v>43</v>
      </c>
      <c r="P1581" s="47">
        <v>0.04</v>
      </c>
      <c r="Q1581" s="48" t="s">
        <v>2002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0.065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ht="14.25" spans="1:34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1998</v>
      </c>
      <c r="F1582" s="20" t="s">
        <v>1998</v>
      </c>
      <c r="G1582" s="20" t="s">
        <v>1998</v>
      </c>
      <c r="H1582" s="20" t="s">
        <v>1999</v>
      </c>
      <c r="I1582" s="20" t="s">
        <v>2000</v>
      </c>
      <c r="J1582" s="20" t="s">
        <v>2001</v>
      </c>
      <c r="K1582" s="20" t="str">
        <f>VLOOKUP(H1582,[1]媒体表!C:T,18,0)</f>
        <v>北京多彩</v>
      </c>
      <c r="L1582" s="20" t="s">
        <v>1998</v>
      </c>
      <c r="M1582" s="20"/>
      <c r="N1582" s="20" t="s">
        <v>333</v>
      </c>
      <c r="O1582" s="20" t="s">
        <v>43</v>
      </c>
      <c r="P1582" s="47">
        <v>0.1</v>
      </c>
      <c r="Q1582" s="48" t="s">
        <v>2002</v>
      </c>
      <c r="R1582" s="30"/>
      <c r="S1582" s="34">
        <v>-555.8</v>
      </c>
      <c r="T1582" s="34"/>
      <c r="U1582" s="32">
        <v>0</v>
      </c>
      <c r="V1582" s="32">
        <f t="shared" si="178"/>
        <v>-555.8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ht="14.25" spans="1:34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1998</v>
      </c>
      <c r="F1583" s="20" t="s">
        <v>1998</v>
      </c>
      <c r="G1583" s="20" t="s">
        <v>1998</v>
      </c>
      <c r="H1583" s="20" t="s">
        <v>1999</v>
      </c>
      <c r="I1583" s="20" t="s">
        <v>2000</v>
      </c>
      <c r="J1583" s="20" t="s">
        <v>2001</v>
      </c>
      <c r="K1583" s="20" t="str">
        <f>VLOOKUP(H1583,[1]媒体表!C:T,18,0)</f>
        <v>北京多彩</v>
      </c>
      <c r="L1583" s="20" t="s">
        <v>2003</v>
      </c>
      <c r="M1583" s="20"/>
      <c r="N1583" s="20" t="s">
        <v>42</v>
      </c>
      <c r="O1583" s="20" t="s">
        <v>43</v>
      </c>
      <c r="P1583" s="47">
        <v>0.04</v>
      </c>
      <c r="Q1583" s="48" t="s">
        <v>2004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0.065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ht="14.25" spans="1:34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1999</v>
      </c>
      <c r="I1584" s="20" t="s">
        <v>2000</v>
      </c>
      <c r="J1584" s="20" t="s">
        <v>2001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2005</v>
      </c>
      <c r="R1584" s="30"/>
      <c r="S1584" s="34">
        <v>98220.23</v>
      </c>
      <c r="T1584" s="34"/>
      <c r="U1584" s="32">
        <v>62020.9</v>
      </c>
      <c r="V1584" s="32">
        <f t="shared" si="178"/>
        <v>36199.33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0.065</v>
      </c>
      <c r="AC1584" s="36"/>
      <c r="AD1584" s="36"/>
      <c r="AE1584" s="34" t="s">
        <v>2006</v>
      </c>
      <c r="AF1584" s="34" t="s">
        <v>53</v>
      </c>
      <c r="AG1584" s="24">
        <v>0</v>
      </c>
      <c r="AH1584" s="38" t="e">
        <v>#N/A</v>
      </c>
    </row>
    <row r="1585" ht="14.25" spans="1:34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2007</v>
      </c>
      <c r="G1585" s="20" t="s">
        <v>225</v>
      </c>
      <c r="H1585" s="20" t="s">
        <v>1999</v>
      </c>
      <c r="I1585" s="20" t="s">
        <v>2000</v>
      </c>
      <c r="J1585" s="20" t="s">
        <v>2001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2005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0.065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ht="14.25" spans="1:34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1999</v>
      </c>
      <c r="I1586" s="20" t="s">
        <v>2000</v>
      </c>
      <c r="J1586" s="20" t="s">
        <v>2001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2008</v>
      </c>
      <c r="R1586" s="30"/>
      <c r="S1586" s="34">
        <v>9287.3</v>
      </c>
      <c r="T1586" s="34"/>
      <c r="U1586" s="49">
        <v>9287.3</v>
      </c>
      <c r="V1586" s="32">
        <f t="shared" si="178"/>
        <v>0</v>
      </c>
      <c r="W1586" s="32">
        <f t="shared" si="181"/>
        <v>9105.19607843137</v>
      </c>
      <c r="X1586" s="32"/>
      <c r="Y1586" s="32">
        <f t="shared" si="177"/>
        <v>9105.19607843137</v>
      </c>
      <c r="Z1586" s="32">
        <f t="shared" si="180"/>
        <v>182.103921568627</v>
      </c>
      <c r="AA1586" s="34">
        <v>0</v>
      </c>
      <c r="AB1586" s="24">
        <v>0.065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ht="14.25" spans="1:34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1999</v>
      </c>
      <c r="I1587" s="20" t="s">
        <v>2000</v>
      </c>
      <c r="J1587" s="20" t="s">
        <v>2001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2008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9737.24169854732</v>
      </c>
      <c r="AB1587" s="24">
        <v>0.065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ht="14.25" spans="1:34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1999</v>
      </c>
      <c r="I1588" s="20" t="s">
        <v>2000</v>
      </c>
      <c r="J1588" s="20" t="s">
        <v>2001</v>
      </c>
      <c r="K1588" s="20" t="str">
        <f>VLOOKUP(H1588,[1]媒体表!C:T,18,0)</f>
        <v>北京多彩</v>
      </c>
      <c r="L1588" s="20" t="s">
        <v>2009</v>
      </c>
      <c r="M1588" s="20"/>
      <c r="N1588" s="20" t="s">
        <v>59</v>
      </c>
      <c r="O1588" s="20" t="s">
        <v>43</v>
      </c>
      <c r="P1588" s="47">
        <v>0.1</v>
      </c>
      <c r="Q1588" s="48" t="s">
        <v>2010</v>
      </c>
      <c r="R1588" s="30"/>
      <c r="S1588" s="34">
        <v>0.0100000000020373</v>
      </c>
      <c r="T1588" s="34"/>
      <c r="U1588" s="32">
        <v>0</v>
      </c>
      <c r="V1588" s="32">
        <f t="shared" si="178"/>
        <v>0.0100000000020373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ht="14.25" spans="1:34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1999</v>
      </c>
      <c r="I1589" s="20" t="s">
        <v>2000</v>
      </c>
      <c r="J1589" s="20" t="s">
        <v>2001</v>
      </c>
      <c r="K1589" s="20" t="str">
        <f>VLOOKUP(H1589,[1]媒体表!C:T,18,0)</f>
        <v>北京多彩</v>
      </c>
      <c r="L1589" s="20" t="s">
        <v>2011</v>
      </c>
      <c r="M1589" s="20"/>
      <c r="N1589" s="20" t="s">
        <v>59</v>
      </c>
      <c r="O1589" s="20" t="s">
        <v>43</v>
      </c>
      <c r="P1589" s="47">
        <v>0.1</v>
      </c>
      <c r="Q1589" s="48" t="s">
        <v>2012</v>
      </c>
      <c r="R1589" s="30"/>
      <c r="S1589" s="34">
        <v>0.00999999999839929</v>
      </c>
      <c r="T1589" s="34"/>
      <c r="U1589" s="32">
        <v>0</v>
      </c>
      <c r="V1589" s="32">
        <f t="shared" si="178"/>
        <v>0.00999999999839929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ht="14.25" spans="1:34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1999</v>
      </c>
      <c r="I1590" s="20" t="s">
        <v>2000</v>
      </c>
      <c r="J1590" s="20" t="s">
        <v>2001</v>
      </c>
      <c r="K1590" s="20" t="str">
        <f>VLOOKUP(H1590,[1]媒体表!C:T,18,0)</f>
        <v>北京多彩</v>
      </c>
      <c r="L1590" s="20" t="s">
        <v>2011</v>
      </c>
      <c r="M1590" s="20"/>
      <c r="N1590" s="20" t="s">
        <v>59</v>
      </c>
      <c r="O1590" s="20" t="s">
        <v>43</v>
      </c>
      <c r="P1590" s="47">
        <v>0.1</v>
      </c>
      <c r="Q1590" s="48" t="s">
        <v>2013</v>
      </c>
      <c r="R1590" s="30"/>
      <c r="S1590" s="34">
        <v>0.0200000000004366</v>
      </c>
      <c r="T1590" s="34"/>
      <c r="U1590" s="32">
        <v>0</v>
      </c>
      <c r="V1590" s="32">
        <f t="shared" si="178"/>
        <v>0.0200000000004366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ht="14.25" spans="1:34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1999</v>
      </c>
      <c r="I1591" s="20" t="s">
        <v>2000</v>
      </c>
      <c r="J1591" s="20" t="s">
        <v>2001</v>
      </c>
      <c r="K1591" s="20" t="str">
        <f>VLOOKUP(H1591,[1]媒体表!C:T,18,0)</f>
        <v>北京多彩</v>
      </c>
      <c r="L1591" s="20" t="s">
        <v>2011</v>
      </c>
      <c r="M1591" s="20"/>
      <c r="N1591" s="20" t="s">
        <v>59</v>
      </c>
      <c r="O1591" s="20" t="s">
        <v>43</v>
      </c>
      <c r="P1591" s="47">
        <v>0.1</v>
      </c>
      <c r="Q1591" s="48" t="s">
        <v>2014</v>
      </c>
      <c r="R1591" s="30"/>
      <c r="S1591" s="34">
        <v>0.0100000000020373</v>
      </c>
      <c r="T1591" s="34"/>
      <c r="U1591" s="32">
        <v>0</v>
      </c>
      <c r="V1591" s="32">
        <f t="shared" si="178"/>
        <v>0.0100000000020373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ht="14.25" spans="1:34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1999</v>
      </c>
      <c r="I1592" s="20" t="s">
        <v>2000</v>
      </c>
      <c r="J1592" s="20" t="s">
        <v>2001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2015</v>
      </c>
      <c r="R1592" s="30"/>
      <c r="S1592" s="34">
        <v>-290291.73</v>
      </c>
      <c r="T1592" s="34"/>
      <c r="U1592" s="32">
        <v>340497.72</v>
      </c>
      <c r="V1592" s="32">
        <f t="shared" si="178"/>
        <v>-630789.45</v>
      </c>
      <c r="W1592" s="32">
        <f t="shared" si="181"/>
        <v>333821.294117647</v>
      </c>
      <c r="X1592" s="32"/>
      <c r="Y1592" s="32">
        <f t="shared" si="177"/>
        <v>333821.294117647</v>
      </c>
      <c r="Z1592" s="32">
        <f t="shared" si="180"/>
        <v>6676.42588235292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ht="14.25" spans="1:34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1999</v>
      </c>
      <c r="I1593" s="20" t="s">
        <v>2000</v>
      </c>
      <c r="J1593" s="20" t="s">
        <v>2001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2015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</v>
      </c>
      <c r="AB1593" s="24">
        <v>0.065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ht="14.25" spans="1:34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1999</v>
      </c>
      <c r="I1594" s="20" t="s">
        <v>2000</v>
      </c>
      <c r="J1594" s="20" t="s">
        <v>2001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2015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55796.1078431373</v>
      </c>
      <c r="X1594" s="32"/>
      <c r="Y1594" s="32">
        <f t="shared" si="177"/>
        <v>55796.1078431373</v>
      </c>
      <c r="Z1594" s="32">
        <f t="shared" si="180"/>
        <v>1115.92215686275</v>
      </c>
      <c r="AA1594" s="34">
        <v>34898.8734737881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ht="14.25" spans="1:34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1999</v>
      </c>
      <c r="I1595" s="20" t="s">
        <v>2000</v>
      </c>
      <c r="J1595" s="20" t="s">
        <v>2001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2016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2902.138</v>
      </c>
      <c r="AA1595" s="34">
        <v>70135.7713514446</v>
      </c>
      <c r="AB1595" s="24">
        <v>0.065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ht="14.25" spans="1:34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1999</v>
      </c>
      <c r="I1596" s="20" t="s">
        <v>2000</v>
      </c>
      <c r="J1596" s="20" t="s">
        <v>2001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2016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</v>
      </c>
      <c r="AA1596" s="34">
        <v>0</v>
      </c>
      <c r="AB1596" s="24">
        <v>0.065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ht="14.25" spans="1:34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1999</v>
      </c>
      <c r="I1597" s="20" t="s">
        <v>2000</v>
      </c>
      <c r="J1597" s="20" t="s">
        <v>2001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2017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0.065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ht="14.25" spans="1:34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2018</v>
      </c>
      <c r="F1598" s="20" t="s">
        <v>2019</v>
      </c>
      <c r="G1598" s="20" t="s">
        <v>2018</v>
      </c>
      <c r="H1598" s="20" t="s">
        <v>1999</v>
      </c>
      <c r="I1598" s="20" t="s">
        <v>2000</v>
      </c>
      <c r="J1598" s="20" t="s">
        <v>2001</v>
      </c>
      <c r="K1598" s="20" t="str">
        <f>VLOOKUP(H1598,[1]媒体表!C:T,18,0)</f>
        <v>北京多彩</v>
      </c>
      <c r="L1598" s="20" t="s">
        <v>2018</v>
      </c>
      <c r="M1598" s="20"/>
      <c r="N1598" s="20" t="s">
        <v>42</v>
      </c>
      <c r="O1598" s="20" t="s">
        <v>82</v>
      </c>
      <c r="P1598" s="47">
        <v>0</v>
      </c>
      <c r="Q1598" s="48" t="s">
        <v>2020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</v>
      </c>
      <c r="AB1598" s="24">
        <v>0.065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ht="14.25" spans="1:34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2018</v>
      </c>
      <c r="F1599" s="20" t="s">
        <v>2021</v>
      </c>
      <c r="G1599" s="20" t="s">
        <v>2018</v>
      </c>
      <c r="H1599" s="20" t="s">
        <v>1999</v>
      </c>
      <c r="I1599" s="20" t="s">
        <v>2000</v>
      </c>
      <c r="J1599" s="20" t="s">
        <v>2001</v>
      </c>
      <c r="K1599" s="20" t="str">
        <f>VLOOKUP(H1599,[1]媒体表!C:T,18,0)</f>
        <v>北京多彩</v>
      </c>
      <c r="L1599" s="20" t="s">
        <v>2018</v>
      </c>
      <c r="M1599" s="20"/>
      <c r="N1599" s="20" t="s">
        <v>42</v>
      </c>
      <c r="O1599" s="20" t="s">
        <v>82</v>
      </c>
      <c r="P1599" s="47">
        <v>0</v>
      </c>
      <c r="Q1599" s="48" t="s">
        <v>2020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0.065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ht="14.25" spans="1:34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2022</v>
      </c>
      <c r="F1600" s="20" t="s">
        <v>2022</v>
      </c>
      <c r="G1600" s="20" t="s">
        <v>2022</v>
      </c>
      <c r="H1600" s="20" t="s">
        <v>1999</v>
      </c>
      <c r="I1600" s="20" t="s">
        <v>2000</v>
      </c>
      <c r="J1600" s="20" t="s">
        <v>2001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2023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0.065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ht="14.25" spans="1:34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2024</v>
      </c>
      <c r="F1601" s="20" t="s">
        <v>2024</v>
      </c>
      <c r="G1601" s="20" t="s">
        <v>2024</v>
      </c>
      <c r="H1601" s="20" t="s">
        <v>1999</v>
      </c>
      <c r="I1601" s="20" t="s">
        <v>2000</v>
      </c>
      <c r="J1601" s="20" t="s">
        <v>2001</v>
      </c>
      <c r="K1601" s="20" t="str">
        <f>VLOOKUP(H1601,[1]媒体表!C:T,18,0)</f>
        <v>北京多彩</v>
      </c>
      <c r="L1601" s="20" t="s">
        <v>2025</v>
      </c>
      <c r="M1601" s="20"/>
      <c r="N1601" s="20" t="s">
        <v>59</v>
      </c>
      <c r="O1601" s="20" t="s">
        <v>43</v>
      </c>
      <c r="P1601" s="47">
        <v>0.12</v>
      </c>
      <c r="Q1601" s="48" t="s">
        <v>2026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ht="14.25" spans="1:34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2027</v>
      </c>
      <c r="F1602" s="20" t="s">
        <v>2027</v>
      </c>
      <c r="G1602" s="20" t="s">
        <v>2027</v>
      </c>
      <c r="H1602" s="20" t="s">
        <v>1999</v>
      </c>
      <c r="I1602" s="20" t="s">
        <v>2000</v>
      </c>
      <c r="J1602" s="20" t="s">
        <v>2001</v>
      </c>
      <c r="K1602" s="20" t="str">
        <f>VLOOKUP(H1602,[1]媒体表!C:T,18,0)</f>
        <v>北京多彩</v>
      </c>
      <c r="L1602" s="20" t="s">
        <v>2028</v>
      </c>
      <c r="M1602" s="20"/>
      <c r="N1602" s="20" t="s">
        <v>42</v>
      </c>
      <c r="O1602" s="20" t="s">
        <v>82</v>
      </c>
      <c r="P1602" s="47">
        <v>0</v>
      </c>
      <c r="Q1602" s="48" t="s">
        <v>2029</v>
      </c>
      <c r="R1602" s="30"/>
      <c r="S1602" s="34">
        <v>147711.11</v>
      </c>
      <c r="T1602" s="34">
        <v>-9691.65</v>
      </c>
      <c r="U1602" s="32">
        <v>113624.1</v>
      </c>
      <c r="V1602" s="32">
        <f t="shared" si="178"/>
        <v>24395.36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</v>
      </c>
      <c r="AB1602" s="24">
        <v>0.065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ht="14.25" spans="1:34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2027</v>
      </c>
      <c r="F1603" s="20" t="s">
        <v>2027</v>
      </c>
      <c r="G1603" s="20" t="s">
        <v>2027</v>
      </c>
      <c r="H1603" s="20" t="s">
        <v>1999</v>
      </c>
      <c r="I1603" s="20" t="s">
        <v>2000</v>
      </c>
      <c r="J1603" s="20" t="s">
        <v>2001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2030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0.065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ht="14.25" spans="1:34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2027</v>
      </c>
      <c r="F1604" s="20" t="s">
        <v>2027</v>
      </c>
      <c r="G1604" s="20" t="s">
        <v>2027</v>
      </c>
      <c r="H1604" s="20" t="s">
        <v>1999</v>
      </c>
      <c r="I1604" s="20" t="s">
        <v>2000</v>
      </c>
      <c r="J1604" s="20" t="s">
        <v>2001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2031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0.065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ht="14.25" spans="1:34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2027</v>
      </c>
      <c r="F1605" s="20" t="s">
        <v>2027</v>
      </c>
      <c r="G1605" s="20" t="s">
        <v>2027</v>
      </c>
      <c r="H1605" s="20" t="s">
        <v>1999</v>
      </c>
      <c r="I1605" s="20" t="s">
        <v>2000</v>
      </c>
      <c r="J1605" s="20" t="s">
        <v>2001</v>
      </c>
      <c r="K1605" s="20" t="str">
        <f>VLOOKUP(H1605,[1]媒体表!C:T,18,0)</f>
        <v>北京多彩</v>
      </c>
      <c r="L1605" s="20" t="s">
        <v>2032</v>
      </c>
      <c r="M1605" s="20"/>
      <c r="N1605" s="20" t="s">
        <v>42</v>
      </c>
      <c r="O1605" s="20" t="s">
        <v>82</v>
      </c>
      <c r="P1605" s="47">
        <v>0</v>
      </c>
      <c r="Q1605" s="48" t="s">
        <v>2033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0.065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ht="14.25" spans="1:34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2027</v>
      </c>
      <c r="F1606" s="20" t="s">
        <v>2027</v>
      </c>
      <c r="G1606" s="20" t="s">
        <v>2027</v>
      </c>
      <c r="H1606" s="20" t="s">
        <v>1999</v>
      </c>
      <c r="I1606" s="20" t="s">
        <v>2000</v>
      </c>
      <c r="J1606" s="20" t="s">
        <v>2001</v>
      </c>
      <c r="K1606" s="20" t="str">
        <f>VLOOKUP(H1606,[1]媒体表!C:T,18,0)</f>
        <v>北京多彩</v>
      </c>
      <c r="L1606" s="20" t="s">
        <v>2034</v>
      </c>
      <c r="M1606" s="20"/>
      <c r="N1606" s="20" t="s">
        <v>42</v>
      </c>
      <c r="O1606" s="20" t="s">
        <v>82</v>
      </c>
      <c r="P1606" s="47">
        <v>0</v>
      </c>
      <c r="Q1606" s="48" t="s">
        <v>2035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0.065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ht="14.25" spans="1:34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2027</v>
      </c>
      <c r="F1607" s="20" t="s">
        <v>2027</v>
      </c>
      <c r="G1607" s="20" t="s">
        <v>2027</v>
      </c>
      <c r="H1607" s="20" t="s">
        <v>1999</v>
      </c>
      <c r="I1607" s="20" t="s">
        <v>2000</v>
      </c>
      <c r="J1607" s="20" t="s">
        <v>2001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2036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0.065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ht="14.25" spans="1:34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2027</v>
      </c>
      <c r="F1608" s="20" t="s">
        <v>2027</v>
      </c>
      <c r="G1608" s="20" t="s">
        <v>2027</v>
      </c>
      <c r="H1608" s="20" t="s">
        <v>1999</v>
      </c>
      <c r="I1608" s="20" t="s">
        <v>2000</v>
      </c>
      <c r="J1608" s="20" t="s">
        <v>2001</v>
      </c>
      <c r="K1608" s="20" t="str">
        <f>VLOOKUP(H1608,[1]媒体表!C:T,18,0)</f>
        <v>北京多彩</v>
      </c>
      <c r="L1608" s="20" t="s">
        <v>2037</v>
      </c>
      <c r="M1608" s="20"/>
      <c r="N1608" s="20" t="s">
        <v>42</v>
      </c>
      <c r="O1608" s="20" t="s">
        <v>82</v>
      </c>
      <c r="P1608" s="47">
        <v>0</v>
      </c>
      <c r="Q1608" s="48" t="s">
        <v>2038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0.065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ht="14.25" spans="1:34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2027</v>
      </c>
      <c r="F1609" s="20" t="s">
        <v>2027</v>
      </c>
      <c r="G1609" s="20" t="s">
        <v>2027</v>
      </c>
      <c r="H1609" s="20" t="s">
        <v>1999</v>
      </c>
      <c r="I1609" s="20" t="s">
        <v>2000</v>
      </c>
      <c r="J1609" s="20" t="s">
        <v>2001</v>
      </c>
      <c r="K1609" s="20" t="str">
        <f>VLOOKUP(H1609,[1]媒体表!C:T,18,0)</f>
        <v>北京多彩</v>
      </c>
      <c r="L1609" s="20" t="s">
        <v>2039</v>
      </c>
      <c r="M1609" s="20"/>
      <c r="N1609" s="20" t="s">
        <v>42</v>
      </c>
      <c r="O1609" s="20" t="s">
        <v>82</v>
      </c>
      <c r="P1609" s="47">
        <v>0</v>
      </c>
      <c r="Q1609" s="48" t="s">
        <v>2040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0.065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ht="14.25" spans="1:34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2027</v>
      </c>
      <c r="F1610" s="20" t="s">
        <v>2027</v>
      </c>
      <c r="G1610" s="20" t="s">
        <v>2027</v>
      </c>
      <c r="H1610" s="20" t="s">
        <v>1999</v>
      </c>
      <c r="I1610" s="20" t="s">
        <v>2000</v>
      </c>
      <c r="J1610" s="20" t="s">
        <v>2001</v>
      </c>
      <c r="K1610" s="20" t="str">
        <f>VLOOKUP(H1610,[1]媒体表!C:T,18,0)</f>
        <v>北京多彩</v>
      </c>
      <c r="L1610" s="20" t="s">
        <v>2041</v>
      </c>
      <c r="M1610" s="20"/>
      <c r="N1610" s="20" t="s">
        <v>42</v>
      </c>
      <c r="O1610" s="20" t="s">
        <v>82</v>
      </c>
      <c r="P1610" s="47">
        <v>0</v>
      </c>
      <c r="Q1610" s="48" t="s">
        <v>2042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207104.02753449</v>
      </c>
      <c r="AB1610" s="24">
        <v>0.065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ht="14.25" spans="1:34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2027</v>
      </c>
      <c r="F1611" s="20" t="s">
        <v>2027</v>
      </c>
      <c r="G1611" s="20" t="s">
        <v>2027</v>
      </c>
      <c r="H1611" s="20" t="s">
        <v>1999</v>
      </c>
      <c r="I1611" s="20" t="s">
        <v>2000</v>
      </c>
      <c r="J1611" s="20" t="s">
        <v>2001</v>
      </c>
      <c r="K1611" s="20" t="str">
        <f>VLOOKUP(H1611,[1]媒体表!C:T,18,0)</f>
        <v>北京多彩</v>
      </c>
      <c r="L1611" s="20" t="s">
        <v>2027</v>
      </c>
      <c r="M1611" s="20"/>
      <c r="N1611" s="20" t="s">
        <v>59</v>
      </c>
      <c r="O1611" s="20" t="s">
        <v>82</v>
      </c>
      <c r="P1611" s="47">
        <v>0</v>
      </c>
      <c r="Q1611" s="48" t="s">
        <v>2043</v>
      </c>
      <c r="R1611" s="30"/>
      <c r="S1611" s="34">
        <v>-12827.1</v>
      </c>
      <c r="T1611" s="34"/>
      <c r="U1611" s="32">
        <v>1118.4</v>
      </c>
      <c r="V1611" s="32">
        <f t="shared" si="184"/>
        <v>-13945.5</v>
      </c>
      <c r="W1611" s="32">
        <f t="shared" si="181"/>
        <v>1118.4</v>
      </c>
      <c r="X1611" s="32"/>
      <c r="Y1611" s="32">
        <f t="shared" si="183"/>
        <v>1118.4</v>
      </c>
      <c r="Z1611" s="32">
        <f t="shared" si="182"/>
        <v>0</v>
      </c>
      <c r="AA1611" s="34">
        <v>685.811068294078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ht="14.25" spans="1:34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2027</v>
      </c>
      <c r="F1612" s="20" t="s">
        <v>2027</v>
      </c>
      <c r="G1612" s="20" t="s">
        <v>2027</v>
      </c>
      <c r="H1612" s="20" t="s">
        <v>1999</v>
      </c>
      <c r="I1612" s="20" t="s">
        <v>2000</v>
      </c>
      <c r="J1612" s="20" t="s">
        <v>2001</v>
      </c>
      <c r="K1612" s="20" t="str">
        <f>VLOOKUP(H1612,[1]媒体表!C:T,18,0)</f>
        <v>北京多彩</v>
      </c>
      <c r="L1612" s="20" t="s">
        <v>2027</v>
      </c>
      <c r="M1612" s="20"/>
      <c r="N1612" s="20" t="s">
        <v>42</v>
      </c>
      <c r="O1612" s="20" t="s">
        <v>82</v>
      </c>
      <c r="P1612" s="47">
        <v>0</v>
      </c>
      <c r="Q1612" s="48" t="s">
        <v>2043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0.065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ht="14.25" spans="1:34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2027</v>
      </c>
      <c r="F1613" s="20" t="s">
        <v>2027</v>
      </c>
      <c r="G1613" s="20" t="s">
        <v>2027</v>
      </c>
      <c r="H1613" s="20" t="s">
        <v>1999</v>
      </c>
      <c r="I1613" s="20" t="s">
        <v>2000</v>
      </c>
      <c r="J1613" s="20" t="s">
        <v>2001</v>
      </c>
      <c r="K1613" s="20" t="str">
        <f>VLOOKUP(H1613,[1]媒体表!C:T,18,0)</f>
        <v>北京多彩</v>
      </c>
      <c r="L1613" s="20" t="s">
        <v>2044</v>
      </c>
      <c r="M1613" s="20"/>
      <c r="N1613" s="20" t="s">
        <v>42</v>
      </c>
      <c r="O1613" s="20" t="s">
        <v>82</v>
      </c>
      <c r="P1613" s="47">
        <v>0</v>
      </c>
      <c r="Q1613" s="48" t="s">
        <v>2045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0.065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ht="14.25" spans="1:34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2044</v>
      </c>
      <c r="F1614" s="20" t="s">
        <v>2046</v>
      </c>
      <c r="G1614" s="20" t="s">
        <v>2044</v>
      </c>
      <c r="H1614" s="20" t="s">
        <v>1999</v>
      </c>
      <c r="I1614" s="20" t="s">
        <v>2000</v>
      </c>
      <c r="J1614" s="20" t="s">
        <v>2001</v>
      </c>
      <c r="K1614" s="20" t="str">
        <f>VLOOKUP(H1614,[1]媒体表!C:T,18,0)</f>
        <v>北京多彩</v>
      </c>
      <c r="L1614" s="20" t="s">
        <v>2044</v>
      </c>
      <c r="M1614" s="20"/>
      <c r="N1614" s="20" t="s">
        <v>42</v>
      </c>
      <c r="O1614" s="20" t="s">
        <v>43</v>
      </c>
      <c r="P1614" s="47">
        <v>0.02</v>
      </c>
      <c r="Q1614" s="48" t="s">
        <v>2047</v>
      </c>
      <c r="R1614" s="30"/>
      <c r="S1614" s="34">
        <v>1264.34</v>
      </c>
      <c r="T1614" s="34"/>
      <c r="U1614" s="32">
        <v>0</v>
      </c>
      <c r="V1614" s="32">
        <f t="shared" si="184"/>
        <v>1264.34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0.065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ht="14.25" spans="1:34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1999</v>
      </c>
      <c r="I1615" s="20" t="s">
        <v>2000</v>
      </c>
      <c r="J1615" s="20" t="s">
        <v>2001</v>
      </c>
      <c r="K1615" s="20" t="str">
        <f>VLOOKUP(H1615,[1]媒体表!C:T,18,0)</f>
        <v>北京多彩</v>
      </c>
      <c r="L1615" s="20" t="s">
        <v>2048</v>
      </c>
      <c r="M1615" s="20"/>
      <c r="N1615" s="20" t="s">
        <v>42</v>
      </c>
      <c r="O1615" s="20" t="s">
        <v>82</v>
      </c>
      <c r="P1615" s="47">
        <v>0</v>
      </c>
      <c r="Q1615" s="48" t="s">
        <v>2049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0.065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ht="14.25" spans="1:34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1999</v>
      </c>
      <c r="I1616" s="20" t="s">
        <v>2000</v>
      </c>
      <c r="J1616" s="20" t="s">
        <v>2001</v>
      </c>
      <c r="K1616" s="20" t="str">
        <f>VLOOKUP(H1616,[1]媒体表!C:T,18,0)</f>
        <v>北京多彩</v>
      </c>
      <c r="L1616" s="20" t="s">
        <v>2041</v>
      </c>
      <c r="M1616" s="20"/>
      <c r="N1616" s="20" t="s">
        <v>59</v>
      </c>
      <c r="O1616" s="20" t="s">
        <v>82</v>
      </c>
      <c r="P1616" s="47">
        <v>0</v>
      </c>
      <c r="Q1616" s="48" t="s">
        <v>2030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ht="14.25" spans="1:34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1999</v>
      </c>
      <c r="I1617" s="20" t="s">
        <v>2000</v>
      </c>
      <c r="J1617" s="20" t="s">
        <v>2001</v>
      </c>
      <c r="K1617" s="20" t="str">
        <f>VLOOKUP(H1617,[1]媒体表!C:T,18,0)</f>
        <v>北京多彩</v>
      </c>
      <c r="L1617" s="20" t="s">
        <v>2041</v>
      </c>
      <c r="M1617" s="20"/>
      <c r="N1617" s="20" t="s">
        <v>42</v>
      </c>
      <c r="O1617" s="20" t="s">
        <v>151</v>
      </c>
      <c r="P1617" s="47">
        <v>0.02</v>
      </c>
      <c r="Q1617" s="48" t="s">
        <v>2042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0.065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ht="14.25" spans="1:34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1999</v>
      </c>
      <c r="I1618" s="20" t="s">
        <v>2000</v>
      </c>
      <c r="J1618" s="20" t="s">
        <v>2001</v>
      </c>
      <c r="K1618" s="20" t="str">
        <f>VLOOKUP(H1618,[1]媒体表!C:T,18,0)</f>
        <v>北京多彩</v>
      </c>
      <c r="L1618" s="20" t="s">
        <v>2041</v>
      </c>
      <c r="M1618" s="20"/>
      <c r="N1618" s="20" t="s">
        <v>333</v>
      </c>
      <c r="O1618" s="20" t="s">
        <v>82</v>
      </c>
      <c r="P1618" s="47">
        <v>0</v>
      </c>
      <c r="Q1618" s="48" t="s">
        <v>2030</v>
      </c>
      <c r="R1618" s="30"/>
      <c r="S1618" s="34">
        <v>314183.41</v>
      </c>
      <c r="T1618" s="34"/>
      <c r="U1618" s="32">
        <v>386037.71</v>
      </c>
      <c r="V1618" s="32">
        <f t="shared" si="184"/>
        <v>-71854.3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ht="14.25" spans="1:34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1999</v>
      </c>
      <c r="I1619" s="20" t="s">
        <v>2000</v>
      </c>
      <c r="J1619" s="20" t="s">
        <v>2001</v>
      </c>
      <c r="K1619" s="20" t="str">
        <f>VLOOKUP(H1619,[1]媒体表!C:T,18,0)</f>
        <v>北京多彩</v>
      </c>
      <c r="L1619" s="20" t="s">
        <v>2027</v>
      </c>
      <c r="M1619" s="20"/>
      <c r="N1619" s="20" t="s">
        <v>42</v>
      </c>
      <c r="O1619" s="20" t="s">
        <v>151</v>
      </c>
      <c r="P1619" s="47">
        <v>0.02</v>
      </c>
      <c r="Q1619" s="48" t="s">
        <v>2043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74796.07340948</v>
      </c>
      <c r="AB1619" s="24">
        <v>0.065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ht="14.25" spans="1:34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1999</v>
      </c>
      <c r="I1620" s="20" t="s">
        <v>2000</v>
      </c>
      <c r="J1620" s="20" t="s">
        <v>2001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2050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0.065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ht="14.25" spans="1:34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2051</v>
      </c>
      <c r="F1621" s="20" t="s">
        <v>2051</v>
      </c>
      <c r="G1621" s="20" t="s">
        <v>2051</v>
      </c>
      <c r="H1621" s="20" t="s">
        <v>1999</v>
      </c>
      <c r="I1621" s="20" t="s">
        <v>2000</v>
      </c>
      <c r="J1621" s="20" t="s">
        <v>2001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2052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0.065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ht="14.25" spans="1:34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2053</v>
      </c>
      <c r="F1622" s="20" t="s">
        <v>2053</v>
      </c>
      <c r="G1622" s="20" t="s">
        <v>2053</v>
      </c>
      <c r="H1622" s="20" t="s">
        <v>1999</v>
      </c>
      <c r="I1622" s="20" t="s">
        <v>2000</v>
      </c>
      <c r="J1622" s="20" t="s">
        <v>2001</v>
      </c>
      <c r="K1622" s="20" t="str">
        <f>VLOOKUP(H1622,[1]媒体表!C:T,18,0)</f>
        <v>北京多彩</v>
      </c>
      <c r="L1622" s="20" t="s">
        <v>2054</v>
      </c>
      <c r="M1622" s="20"/>
      <c r="N1622" s="20" t="s">
        <v>59</v>
      </c>
      <c r="O1622" s="20" t="s">
        <v>43</v>
      </c>
      <c r="P1622" s="47">
        <v>0.08</v>
      </c>
      <c r="Q1622" s="48" t="s">
        <v>2055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0.0199999999995271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ht="14.25" spans="1:34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2053</v>
      </c>
      <c r="F1623" s="20" t="s">
        <v>2053</v>
      </c>
      <c r="G1623" s="20" t="s">
        <v>2053</v>
      </c>
      <c r="H1623" s="20" t="s">
        <v>1999</v>
      </c>
      <c r="I1623" s="20" t="s">
        <v>2000</v>
      </c>
      <c r="J1623" s="20" t="s">
        <v>2001</v>
      </c>
      <c r="K1623" s="20" t="str">
        <f>VLOOKUP(H1623,[1]媒体表!C:T,18,0)</f>
        <v>北京多彩</v>
      </c>
      <c r="L1623" s="20" t="s">
        <v>2056</v>
      </c>
      <c r="M1623" s="20"/>
      <c r="N1623" s="20" t="s">
        <v>59</v>
      </c>
      <c r="O1623" s="20" t="s">
        <v>43</v>
      </c>
      <c r="P1623" s="47">
        <v>0.08</v>
      </c>
      <c r="Q1623" s="48" t="s">
        <v>2057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ht="14.25" spans="1:34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2053</v>
      </c>
      <c r="F1624" s="20" t="s">
        <v>2053</v>
      </c>
      <c r="G1624" s="20" t="s">
        <v>2053</v>
      </c>
      <c r="H1624" s="20" t="s">
        <v>1999</v>
      </c>
      <c r="I1624" s="20" t="s">
        <v>2000</v>
      </c>
      <c r="J1624" s="20" t="s">
        <v>2001</v>
      </c>
      <c r="K1624" s="20" t="str">
        <f>VLOOKUP(H1624,[1]媒体表!C:T,18,0)</f>
        <v>北京多彩</v>
      </c>
      <c r="L1624" s="20" t="s">
        <v>2058</v>
      </c>
      <c r="M1624" s="20"/>
      <c r="N1624" s="20" t="s">
        <v>42</v>
      </c>
      <c r="O1624" s="20" t="s">
        <v>43</v>
      </c>
      <c r="P1624" s="47">
        <v>0.05</v>
      </c>
      <c r="Q1624" s="48" t="s">
        <v>2059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</v>
      </c>
      <c r="X1624" s="32"/>
      <c r="Y1624" s="32">
        <f t="shared" si="183"/>
        <v>673705.514285714</v>
      </c>
      <c r="Z1624" s="32">
        <f t="shared" si="185"/>
        <v>33685.2757142858</v>
      </c>
      <c r="AA1624" s="34">
        <v>448184.707655841</v>
      </c>
      <c r="AB1624" s="24">
        <v>0.065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ht="14.25" spans="1:34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2060</v>
      </c>
      <c r="F1625" s="20" t="s">
        <v>2060</v>
      </c>
      <c r="G1625" s="20" t="s">
        <v>2060</v>
      </c>
      <c r="H1625" s="20" t="s">
        <v>1999</v>
      </c>
      <c r="I1625" s="20" t="s">
        <v>2000</v>
      </c>
      <c r="J1625" s="20" t="s">
        <v>2001</v>
      </c>
      <c r="K1625" s="20" t="str">
        <f>VLOOKUP(H1625,[1]媒体表!C:T,18,0)</f>
        <v>北京多彩</v>
      </c>
      <c r="L1625" s="20" t="s">
        <v>2061</v>
      </c>
      <c r="M1625" s="20"/>
      <c r="N1625" s="20" t="s">
        <v>42</v>
      </c>
      <c r="O1625" s="20" t="s">
        <v>43</v>
      </c>
      <c r="P1625" s="47">
        <v>0.02</v>
      </c>
      <c r="Q1625" s="48" t="s">
        <v>2062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1405.88235294118</v>
      </c>
      <c r="X1625" s="32"/>
      <c r="Y1625" s="32">
        <f t="shared" si="183"/>
        <v>1405.88235294118</v>
      </c>
      <c r="Z1625" s="32">
        <f t="shared" si="185"/>
        <v>28.1176470588236</v>
      </c>
      <c r="AA1625" s="34">
        <v>1236.90048806866</v>
      </c>
      <c r="AB1625" s="24">
        <v>0.065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ht="14.25" spans="1:34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2060</v>
      </c>
      <c r="F1626" s="20" t="s">
        <v>2060</v>
      </c>
      <c r="G1626" s="20" t="s">
        <v>2060</v>
      </c>
      <c r="H1626" s="20" t="s">
        <v>1999</v>
      </c>
      <c r="I1626" s="20" t="s">
        <v>2000</v>
      </c>
      <c r="J1626" s="20" t="s">
        <v>2001</v>
      </c>
      <c r="K1626" s="20" t="str">
        <f>VLOOKUP(H1626,[1]媒体表!C:T,18,0)</f>
        <v>北京多彩</v>
      </c>
      <c r="L1626" s="20" t="s">
        <v>2061</v>
      </c>
      <c r="M1626" s="20"/>
      <c r="N1626" s="20" t="s">
        <v>42</v>
      </c>
      <c r="O1626" s="20" t="s">
        <v>82</v>
      </c>
      <c r="P1626" s="47">
        <v>0</v>
      </c>
      <c r="Q1626" s="48" t="s">
        <v>2062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0.065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ht="14.25" spans="1:34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2063</v>
      </c>
      <c r="F1627" s="20" t="s">
        <v>2063</v>
      </c>
      <c r="G1627" s="20" t="s">
        <v>2063</v>
      </c>
      <c r="H1627" s="20" t="s">
        <v>1999</v>
      </c>
      <c r="I1627" s="20" t="s">
        <v>2000</v>
      </c>
      <c r="J1627" s="20" t="s">
        <v>2001</v>
      </c>
      <c r="K1627" s="20" t="str">
        <f>VLOOKUP(H1627,[1]媒体表!C:T,18,0)</f>
        <v>北京多彩</v>
      </c>
      <c r="L1627" s="20" t="s">
        <v>2063</v>
      </c>
      <c r="M1627" s="20"/>
      <c r="N1627" s="20" t="s">
        <v>42</v>
      </c>
      <c r="O1627" s="20" t="s">
        <v>43</v>
      </c>
      <c r="P1627" s="47">
        <v>0.01</v>
      </c>
      <c r="Q1627" s="48" t="s">
        <v>2064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</v>
      </c>
      <c r="W1627" s="32">
        <f t="shared" si="181"/>
        <v>112727.623762376</v>
      </c>
      <c r="X1627" s="32"/>
      <c r="Y1627" s="32">
        <f t="shared" si="183"/>
        <v>112727.623762376</v>
      </c>
      <c r="Z1627" s="32">
        <f t="shared" si="185"/>
        <v>1127.27623762377</v>
      </c>
      <c r="AA1627" s="34">
        <v>69816.6582613693</v>
      </c>
      <c r="AB1627" s="24">
        <v>0.065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ht="14.25" spans="1:34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1999</v>
      </c>
      <c r="I1628" s="20" t="s">
        <v>2000</v>
      </c>
      <c r="J1628" s="20" t="s">
        <v>2001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2065</v>
      </c>
      <c r="R1628" s="30"/>
      <c r="S1628" s="34">
        <v>-0.00999999999476131</v>
      </c>
      <c r="T1628" s="34"/>
      <c r="U1628" s="32">
        <v>0</v>
      </c>
      <c r="V1628" s="32">
        <f t="shared" si="184"/>
        <v>-0.00999999999476131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ht="14.25" spans="1:34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1999</v>
      </c>
      <c r="I1629" s="20" t="s">
        <v>2000</v>
      </c>
      <c r="J1629" s="20" t="s">
        <v>2001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2066</v>
      </c>
      <c r="R1629" s="30"/>
      <c r="S1629" s="34">
        <v>321.989999999998</v>
      </c>
      <c r="T1629" s="34"/>
      <c r="U1629" s="32">
        <v>0</v>
      </c>
      <c r="V1629" s="32">
        <f t="shared" si="184"/>
        <v>321.989999999998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ht="14.25" spans="1:34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1999</v>
      </c>
      <c r="I1630" s="20" t="s">
        <v>2000</v>
      </c>
      <c r="J1630" s="20" t="s">
        <v>2001</v>
      </c>
      <c r="K1630" s="20" t="str">
        <f>VLOOKUP(H1630,[1]媒体表!C:T,18,0)</f>
        <v>北京多彩</v>
      </c>
      <c r="L1630" s="20" t="s">
        <v>2067</v>
      </c>
      <c r="M1630" s="20"/>
      <c r="N1630" s="20" t="s">
        <v>59</v>
      </c>
      <c r="O1630" s="20" t="s">
        <v>43</v>
      </c>
      <c r="P1630" s="47">
        <v>0.04</v>
      </c>
      <c r="Q1630" s="48" t="s">
        <v>2068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ht="14.25" spans="1:34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1643</v>
      </c>
      <c r="G1631" s="20" t="s">
        <v>216</v>
      </c>
      <c r="H1631" s="20" t="s">
        <v>1999</v>
      </c>
      <c r="I1631" s="20" t="s">
        <v>2000</v>
      </c>
      <c r="J1631" s="20" t="s">
        <v>2001</v>
      </c>
      <c r="K1631" s="20" t="str">
        <f>VLOOKUP(H1631,[1]媒体表!C:T,18,0)</f>
        <v>北京多彩</v>
      </c>
      <c r="L1631" s="20" t="s">
        <v>2069</v>
      </c>
      <c r="M1631" s="20"/>
      <c r="N1631" s="20" t="s">
        <v>42</v>
      </c>
      <c r="O1631" s="20" t="s">
        <v>82</v>
      </c>
      <c r="P1631" s="47">
        <v>0</v>
      </c>
      <c r="Q1631" s="48" t="s">
        <v>2070</v>
      </c>
      <c r="R1631" s="30"/>
      <c r="S1631" s="34">
        <v>8664.3</v>
      </c>
      <c r="T1631" s="34">
        <v>43986.1</v>
      </c>
      <c r="U1631" s="32">
        <v>45098</v>
      </c>
      <c r="V1631" s="32">
        <f t="shared" si="184"/>
        <v>7552.39999999999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</v>
      </c>
      <c r="AB1631" s="24">
        <v>0.065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ht="14.25" spans="1:34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1643</v>
      </c>
      <c r="G1632" s="20" t="s">
        <v>216</v>
      </c>
      <c r="H1632" s="20" t="s">
        <v>1999</v>
      </c>
      <c r="I1632" s="20" t="s">
        <v>2000</v>
      </c>
      <c r="J1632" s="20" t="s">
        <v>2001</v>
      </c>
      <c r="K1632" s="20" t="str">
        <f>VLOOKUP(H1632,[1]媒体表!C:T,18,0)</f>
        <v>北京多彩</v>
      </c>
      <c r="L1632" s="20" t="s">
        <v>2071</v>
      </c>
      <c r="M1632" s="20"/>
      <c r="N1632" s="20" t="s">
        <v>42</v>
      </c>
      <c r="O1632" s="20" t="s">
        <v>82</v>
      </c>
      <c r="P1632" s="47">
        <v>0</v>
      </c>
      <c r="Q1632" s="48" t="s">
        <v>2072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-7.27418125734403e-13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4.16980978576514</v>
      </c>
      <c r="AB1632" s="24">
        <v>0.065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ht="14.25" spans="1:34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2073</v>
      </c>
      <c r="F1633" s="20" t="s">
        <v>2073</v>
      </c>
      <c r="G1633" s="20" t="s">
        <v>2073</v>
      </c>
      <c r="H1633" s="20" t="s">
        <v>1999</v>
      </c>
      <c r="I1633" s="20" t="s">
        <v>2000</v>
      </c>
      <c r="J1633" s="20" t="s">
        <v>2001</v>
      </c>
      <c r="K1633" s="20" t="str">
        <f>VLOOKUP(H1633,[1]媒体表!C:T,18,0)</f>
        <v>北京多彩</v>
      </c>
      <c r="L1633" s="20" t="s">
        <v>2074</v>
      </c>
      <c r="M1633" s="20"/>
      <c r="N1633" s="20" t="s">
        <v>42</v>
      </c>
      <c r="O1633" s="20" t="s">
        <v>43</v>
      </c>
      <c r="P1633" s="47">
        <v>0.02</v>
      </c>
      <c r="Q1633" s="48" t="s">
        <v>2075</v>
      </c>
      <c r="R1633" s="30"/>
      <c r="S1633" s="34">
        <v>450.89999999999</v>
      </c>
      <c r="T1633" s="34"/>
      <c r="U1633" s="32">
        <v>0</v>
      </c>
      <c r="V1633" s="32">
        <f t="shared" si="184"/>
        <v>450.89999999999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0.065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ht="14.25" spans="1:34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2076</v>
      </c>
      <c r="F1634" s="20" t="s">
        <v>2076</v>
      </c>
      <c r="G1634" s="20" t="s">
        <v>2076</v>
      </c>
      <c r="H1634" s="20" t="s">
        <v>1999</v>
      </c>
      <c r="I1634" s="20" t="s">
        <v>2000</v>
      </c>
      <c r="J1634" s="20" t="s">
        <v>2001</v>
      </c>
      <c r="K1634" s="20" t="str">
        <f>VLOOKUP(H1634,[1]媒体表!C:T,18,0)</f>
        <v>北京多彩</v>
      </c>
      <c r="L1634" s="20" t="s">
        <v>2076</v>
      </c>
      <c r="M1634" s="47"/>
      <c r="N1634" s="20" t="s">
        <v>42</v>
      </c>
      <c r="O1634" s="20" t="s">
        <v>82</v>
      </c>
      <c r="P1634" s="47">
        <v>0</v>
      </c>
      <c r="Q1634" s="48" t="s">
        <v>2077</v>
      </c>
      <c r="R1634" s="40"/>
      <c r="S1634" s="34">
        <v>26096.5</v>
      </c>
      <c r="T1634" s="34">
        <v>10000</v>
      </c>
      <c r="U1634" s="32">
        <v>2290.8</v>
      </c>
      <c r="V1634" s="32">
        <f t="shared" si="184"/>
        <v>33805.7</v>
      </c>
      <c r="W1634" s="32">
        <f t="shared" si="181"/>
        <v>2290.8</v>
      </c>
      <c r="X1634" s="32"/>
      <c r="Y1634" s="32">
        <f t="shared" si="183"/>
        <v>2290.8</v>
      </c>
      <c r="Z1634" s="32">
        <f t="shared" si="185"/>
        <v>0</v>
      </c>
      <c r="AA1634" s="34">
        <v>1404.7353319457</v>
      </c>
      <c r="AB1634" s="24">
        <v>0.065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ht="14.25" spans="1:34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2078</v>
      </c>
      <c r="F1635" s="20" t="s">
        <v>2078</v>
      </c>
      <c r="G1635" s="20" t="s">
        <v>2078</v>
      </c>
      <c r="H1635" s="20" t="s">
        <v>1999</v>
      </c>
      <c r="I1635" s="20" t="s">
        <v>2000</v>
      </c>
      <c r="J1635" s="20" t="s">
        <v>2001</v>
      </c>
      <c r="K1635" s="20" t="str">
        <f>VLOOKUP(H1635,[1]媒体表!C:T,18,0)</f>
        <v>北京多彩</v>
      </c>
      <c r="L1635" s="20" t="s">
        <v>2078</v>
      </c>
      <c r="M1635" s="47"/>
      <c r="N1635" s="20" t="s">
        <v>42</v>
      </c>
      <c r="O1635" s="20" t="s">
        <v>43</v>
      </c>
      <c r="P1635" s="47">
        <v>0.02</v>
      </c>
      <c r="Q1635" s="48" t="s">
        <v>2079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13508.1666666667</v>
      </c>
      <c r="X1635" s="32"/>
      <c r="Y1635" s="32">
        <f t="shared" si="183"/>
        <v>13508.1666666667</v>
      </c>
      <c r="Z1635" s="32">
        <f t="shared" si="185"/>
        <v>710.833333333334</v>
      </c>
      <c r="AA1635" s="34">
        <f>8719.19490349919-440.67</f>
        <v>8278.52490349919</v>
      </c>
      <c r="AB1635" s="24">
        <v>0.065</v>
      </c>
      <c r="AC1635" s="36"/>
      <c r="AD1635" s="36"/>
      <c r="AE1635" s="34" t="s">
        <v>2080</v>
      </c>
      <c r="AF1635" s="34" t="s">
        <v>53</v>
      </c>
      <c r="AG1635" s="24">
        <v>0</v>
      </c>
      <c r="AH1635" s="38" t="e">
        <v>#N/A</v>
      </c>
    </row>
    <row r="1636" ht="14.25" spans="1:34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2081</v>
      </c>
      <c r="F1636" s="20" t="s">
        <v>2081</v>
      </c>
      <c r="G1636" s="20" t="s">
        <v>2081</v>
      </c>
      <c r="H1636" s="20" t="s">
        <v>1999</v>
      </c>
      <c r="I1636" s="20" t="s">
        <v>2000</v>
      </c>
      <c r="J1636" s="20" t="s">
        <v>2001</v>
      </c>
      <c r="K1636" s="20" t="str">
        <f>VLOOKUP(H1636,[1]媒体表!C:T,18,0)</f>
        <v>北京多彩</v>
      </c>
      <c r="L1636" s="20" t="s">
        <v>2058</v>
      </c>
      <c r="M1636" s="47"/>
      <c r="N1636" s="20" t="s">
        <v>42</v>
      </c>
      <c r="O1636" s="20" t="s">
        <v>82</v>
      </c>
      <c r="P1636" s="47">
        <v>0</v>
      </c>
      <c r="Q1636" s="48" t="s">
        <v>2059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0.065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ht="14.25" spans="1:34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2082</v>
      </c>
      <c r="F1637" s="20" t="s">
        <v>2082</v>
      </c>
      <c r="G1637" s="20" t="s">
        <v>2082</v>
      </c>
      <c r="H1637" s="20" t="s">
        <v>1999</v>
      </c>
      <c r="I1637" s="20" t="s">
        <v>2000</v>
      </c>
      <c r="J1637" s="20" t="s">
        <v>2001</v>
      </c>
      <c r="K1637" s="20" t="str">
        <f>VLOOKUP(H1637,[1]媒体表!C:T,18,0)</f>
        <v>北京多彩</v>
      </c>
      <c r="L1637" s="20" t="s">
        <v>2083</v>
      </c>
      <c r="M1637" s="47"/>
      <c r="N1637" s="20" t="s">
        <v>59</v>
      </c>
      <c r="O1637" s="20" t="s">
        <v>43</v>
      </c>
      <c r="P1637" s="47">
        <v>0.08</v>
      </c>
      <c r="Q1637" s="48" t="s">
        <v>2084</v>
      </c>
      <c r="R1637" s="40"/>
      <c r="S1637" s="34">
        <v>0.0100000000002183</v>
      </c>
      <c r="T1637" s="34"/>
      <c r="U1637" s="32">
        <v>0</v>
      </c>
      <c r="V1637" s="32">
        <f t="shared" si="184"/>
        <v>0.0100000000002183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ht="14.25" spans="1:34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2085</v>
      </c>
      <c r="F1638" s="20" t="s">
        <v>2086</v>
      </c>
      <c r="G1638" s="20" t="s">
        <v>2085</v>
      </c>
      <c r="H1638" s="20" t="s">
        <v>1999</v>
      </c>
      <c r="I1638" s="20" t="s">
        <v>2000</v>
      </c>
      <c r="J1638" s="20" t="s">
        <v>2001</v>
      </c>
      <c r="K1638" s="20" t="str">
        <f>VLOOKUP(H1638,[1]媒体表!C:T,18,0)</f>
        <v>北京多彩</v>
      </c>
      <c r="L1638" s="20" t="s">
        <v>2085</v>
      </c>
      <c r="M1638" s="47"/>
      <c r="N1638" s="20" t="s">
        <v>42</v>
      </c>
      <c r="O1638" s="20" t="s">
        <v>82</v>
      </c>
      <c r="P1638" s="47">
        <v>0</v>
      </c>
      <c r="Q1638" s="48" t="s">
        <v>2087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29844.8616550247</v>
      </c>
      <c r="AB1638" s="24">
        <v>0.065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ht="14.25" spans="1:34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1999</v>
      </c>
      <c r="I1639" s="20" t="s">
        <v>2000</v>
      </c>
      <c r="J1639" s="20" t="s">
        <v>2001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2088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141144.215686275</v>
      </c>
      <c r="X1639" s="32"/>
      <c r="Y1639" s="32">
        <f t="shared" si="187"/>
        <v>141144.215686275</v>
      </c>
      <c r="Z1639" s="32">
        <f t="shared" si="185"/>
        <v>2822.88431372549</v>
      </c>
      <c r="AA1639" s="34">
        <v>0</v>
      </c>
      <c r="AB1639" s="24">
        <v>0.065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ht="14.25" spans="1:34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1999</v>
      </c>
      <c r="I1640" s="20" t="s">
        <v>2000</v>
      </c>
      <c r="J1640" s="20" t="s">
        <v>2001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2088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0.065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ht="14.25" spans="1:34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2089</v>
      </c>
      <c r="F1641" s="20" t="s">
        <v>2090</v>
      </c>
      <c r="G1641" s="20" t="s">
        <v>2089</v>
      </c>
      <c r="H1641" s="20" t="s">
        <v>1999</v>
      </c>
      <c r="I1641" s="20" t="s">
        <v>2000</v>
      </c>
      <c r="J1641" s="20" t="s">
        <v>2001</v>
      </c>
      <c r="K1641" s="20" t="str">
        <f>VLOOKUP(H1641,[1]媒体表!C:T,18,0)</f>
        <v>北京多彩</v>
      </c>
      <c r="L1641" s="20" t="s">
        <v>2089</v>
      </c>
      <c r="M1641" s="47"/>
      <c r="N1641" s="20" t="s">
        <v>59</v>
      </c>
      <c r="O1641" s="20" t="s">
        <v>82</v>
      </c>
      <c r="P1641" s="47">
        <v>0</v>
      </c>
      <c r="Q1641" s="48" t="s">
        <v>2091</v>
      </c>
      <c r="R1641" s="40"/>
      <c r="S1641" s="34">
        <v>0.0499999999999545</v>
      </c>
      <c r="T1641" s="34"/>
      <c r="U1641" s="32">
        <v>0</v>
      </c>
      <c r="V1641" s="32">
        <f t="shared" si="184"/>
        <v>0.0499999999999545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ht="14.25" spans="1:34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1999</v>
      </c>
      <c r="I1642" s="20" t="s">
        <v>2000</v>
      </c>
      <c r="J1642" s="20" t="s">
        <v>2001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2092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0.065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ht="14.25" spans="1:34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2093</v>
      </c>
      <c r="F1643" s="20" t="s">
        <v>2094</v>
      </c>
      <c r="G1643" s="20" t="s">
        <v>2093</v>
      </c>
      <c r="H1643" s="20" t="s">
        <v>1999</v>
      </c>
      <c r="I1643" s="20" t="s">
        <v>2000</v>
      </c>
      <c r="J1643" s="20" t="s">
        <v>2001</v>
      </c>
      <c r="K1643" s="20" t="str">
        <f>VLOOKUP(H1643,[1]媒体表!C:T,18,0)</f>
        <v>北京多彩</v>
      </c>
      <c r="L1643" s="20" t="s">
        <v>2093</v>
      </c>
      <c r="M1643" s="47"/>
      <c r="N1643" s="20" t="s">
        <v>42</v>
      </c>
      <c r="O1643" s="20" t="s">
        <v>82</v>
      </c>
      <c r="P1643" s="47">
        <v>0</v>
      </c>
      <c r="Q1643" s="48" t="s">
        <v>2095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8694.6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</v>
      </c>
      <c r="AB1643" s="24">
        <v>0.065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ht="14.25" spans="1:34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2096</v>
      </c>
      <c r="F1644" s="20" t="s">
        <v>2096</v>
      </c>
      <c r="G1644" s="20" t="s">
        <v>2096</v>
      </c>
      <c r="H1644" s="20" t="s">
        <v>1999</v>
      </c>
      <c r="I1644" s="20" t="s">
        <v>2000</v>
      </c>
      <c r="J1644" s="20" t="s">
        <v>2001</v>
      </c>
      <c r="K1644" s="20" t="str">
        <f>VLOOKUP(H1644,[1]媒体表!C:T,18,0)</f>
        <v>北京多彩</v>
      </c>
      <c r="L1644" s="20" t="s">
        <v>2097</v>
      </c>
      <c r="M1644" s="47"/>
      <c r="N1644" s="20" t="s">
        <v>59</v>
      </c>
      <c r="O1644" s="20" t="s">
        <v>43</v>
      </c>
      <c r="P1644" s="47">
        <v>0.07</v>
      </c>
      <c r="Q1644" s="48" t="s">
        <v>2098</v>
      </c>
      <c r="R1644" s="40"/>
      <c r="S1644" s="34">
        <v>447.35000000001</v>
      </c>
      <c r="T1644" s="34"/>
      <c r="U1644" s="32">
        <v>0</v>
      </c>
      <c r="V1644" s="32">
        <f t="shared" si="184"/>
        <v>447.35000000001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ht="14.25" spans="1:34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1999</v>
      </c>
      <c r="I1645" s="20" t="s">
        <v>2000</v>
      </c>
      <c r="J1645" s="20" t="s">
        <v>2001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2099</v>
      </c>
      <c r="R1645" s="40"/>
      <c r="S1645" s="34">
        <v>39800.4400000001</v>
      </c>
      <c r="T1645" s="34">
        <v>20000</v>
      </c>
      <c r="U1645" s="32">
        <v>15970.8</v>
      </c>
      <c r="V1645" s="32">
        <f t="shared" si="184"/>
        <v>43829.6400000001</v>
      </c>
      <c r="W1645" s="32">
        <f t="shared" si="186"/>
        <v>15356.5384615385</v>
      </c>
      <c r="X1645" s="32"/>
      <c r="Y1645" s="32">
        <f t="shared" ref="Y1645:Y1689" si="188">W1645+X1645</f>
        <v>15356.5384615385</v>
      </c>
      <c r="Z1645" s="32">
        <f t="shared" si="185"/>
        <v>614.261538461538</v>
      </c>
      <c r="AA1645" s="34">
        <v>9793.41148919086</v>
      </c>
      <c r="AB1645" s="24">
        <v>0.065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ht="14.25" spans="1:34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2100</v>
      </c>
      <c r="F1646" s="20" t="s">
        <v>2100</v>
      </c>
      <c r="G1646" s="20" t="s">
        <v>2100</v>
      </c>
      <c r="H1646" s="20" t="s">
        <v>1999</v>
      </c>
      <c r="I1646" s="20" t="s">
        <v>2000</v>
      </c>
      <c r="J1646" s="20" t="s">
        <v>2001</v>
      </c>
      <c r="K1646" s="20" t="str">
        <f>VLOOKUP(H1646,[1]媒体表!C:T,18,0)</f>
        <v>北京多彩</v>
      </c>
      <c r="L1646" s="20" t="s">
        <v>2100</v>
      </c>
      <c r="M1646" s="47"/>
      <c r="N1646" s="20" t="s">
        <v>59</v>
      </c>
      <c r="O1646" s="20" t="s">
        <v>43</v>
      </c>
      <c r="P1646" s="47">
        <v>0.08</v>
      </c>
      <c r="Q1646" s="48" t="s">
        <v>2101</v>
      </c>
      <c r="R1646" s="40"/>
      <c r="S1646" s="34">
        <v>21600</v>
      </c>
      <c r="T1646" s="34"/>
      <c r="U1646" s="32">
        <v>21599.97</v>
      </c>
      <c r="V1646" s="32">
        <f t="shared" si="184"/>
        <v>0.0299999999988358</v>
      </c>
      <c r="W1646" s="32">
        <f t="shared" si="186"/>
        <v>19999.9722222222</v>
      </c>
      <c r="X1646" s="32"/>
      <c r="Y1646" s="32">
        <f t="shared" si="188"/>
        <v>19999.9722222222</v>
      </c>
      <c r="Z1646" s="32">
        <f t="shared" si="185"/>
        <v>1599.99777777778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ht="14.25" spans="1:34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1999</v>
      </c>
      <c r="I1647" s="20" t="s">
        <v>2000</v>
      </c>
      <c r="J1647" s="20" t="s">
        <v>2001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2102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0.065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ht="14.25" spans="1:34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1999</v>
      </c>
      <c r="I1648" s="20" t="s">
        <v>2000</v>
      </c>
      <c r="J1648" s="20" t="s">
        <v>2001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2103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ht="14.25" spans="1:34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1999</v>
      </c>
      <c r="I1649" s="20" t="s">
        <v>2000</v>
      </c>
      <c r="J1649" s="20" t="s">
        <v>2001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2103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</v>
      </c>
      <c r="AB1649" s="24">
        <v>0.065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ht="14.25" spans="1:34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1999</v>
      </c>
      <c r="I1650" s="20" t="s">
        <v>2000</v>
      </c>
      <c r="J1650" s="20" t="s">
        <v>2001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2103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ht="14.25" spans="1:34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1999</v>
      </c>
      <c r="I1651" s="20" t="s">
        <v>2000</v>
      </c>
      <c r="J1651" s="20" t="s">
        <v>2001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ht="14.25" spans="1:34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1999</v>
      </c>
      <c r="I1652" s="20" t="s">
        <v>2000</v>
      </c>
      <c r="J1652" s="20" t="s">
        <v>2001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0.065</v>
      </c>
      <c r="AC1652" s="36"/>
      <c r="AD1652" s="36"/>
      <c r="AE1652" s="34"/>
      <c r="AF1652" s="34"/>
      <c r="AG1652" s="24"/>
      <c r="AH1652" s="38" t="e">
        <v>#N/A</v>
      </c>
    </row>
    <row r="1653" ht="14.25" spans="1:34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1999</v>
      </c>
      <c r="I1653" s="20" t="s">
        <v>2000</v>
      </c>
      <c r="J1653" s="20" t="s">
        <v>2001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ht="14.25" spans="1:34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1669</v>
      </c>
      <c r="F1654" s="20" t="s">
        <v>1669</v>
      </c>
      <c r="G1654" s="20" t="s">
        <v>1669</v>
      </c>
      <c r="H1654" s="20" t="s">
        <v>1999</v>
      </c>
      <c r="I1654" s="20" t="s">
        <v>2000</v>
      </c>
      <c r="J1654" s="20" t="s">
        <v>2001</v>
      </c>
      <c r="K1654" s="20" t="str">
        <f>VLOOKUP(H1654,[1]媒体表!C:T,18,0)</f>
        <v>北京多彩</v>
      </c>
      <c r="L1654" s="20" t="s">
        <v>1669</v>
      </c>
      <c r="M1654" s="47"/>
      <c r="N1654" s="20" t="s">
        <v>42</v>
      </c>
      <c r="O1654" s="20" t="s">
        <v>43</v>
      </c>
      <c r="P1654" s="47">
        <v>0.03</v>
      </c>
      <c r="Q1654" s="48" t="s">
        <v>2104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0.065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ht="14.25" spans="1:34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1999</v>
      </c>
      <c r="I1655" s="20" t="s">
        <v>2000</v>
      </c>
      <c r="J1655" s="20" t="s">
        <v>2001</v>
      </c>
      <c r="K1655" s="20" t="str">
        <f>VLOOKUP(H1655,[1]媒体表!C:T,18,0)</f>
        <v>北京多彩</v>
      </c>
      <c r="L1655" s="20" t="s">
        <v>2105</v>
      </c>
      <c r="M1655" s="47"/>
      <c r="N1655" s="20" t="s">
        <v>42</v>
      </c>
      <c r="O1655" s="20" t="s">
        <v>82</v>
      </c>
      <c r="P1655" s="47">
        <v>0</v>
      </c>
      <c r="Q1655" s="48" t="s">
        <v>2106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0.065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ht="14.25" spans="1:34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1999</v>
      </c>
      <c r="I1656" s="20" t="s">
        <v>2000</v>
      </c>
      <c r="J1656" s="20" t="s">
        <v>2001</v>
      </c>
      <c r="K1656" s="20" t="str">
        <f>VLOOKUP(H1656,[1]媒体表!C:T,18,0)</f>
        <v>北京多彩</v>
      </c>
      <c r="L1656" s="20" t="s">
        <v>2107</v>
      </c>
      <c r="M1656" s="47"/>
      <c r="N1656" s="20" t="s">
        <v>42</v>
      </c>
      <c r="O1656" s="20" t="s">
        <v>82</v>
      </c>
      <c r="P1656" s="47">
        <v>0</v>
      </c>
      <c r="Q1656" s="48" t="s">
        <v>2108</v>
      </c>
      <c r="R1656" s="40"/>
      <c r="S1656" s="34">
        <v>46894.39</v>
      </c>
      <c r="T1656" s="34"/>
      <c r="U1656" s="32">
        <v>18383.1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-28519.99</v>
      </c>
      <c r="AA1656" s="34">
        <v>39792.641510691</v>
      </c>
      <c r="AB1656" s="24">
        <v>0.065</v>
      </c>
      <c r="AC1656" s="36"/>
      <c r="AD1656" s="36"/>
      <c r="AE1656" s="34" t="s">
        <v>2109</v>
      </c>
      <c r="AF1656" s="34" t="s">
        <v>44</v>
      </c>
      <c r="AG1656" s="24">
        <v>0</v>
      </c>
      <c r="AH1656" s="38" t="e">
        <v>#N/A</v>
      </c>
    </row>
    <row r="1657" ht="14.25" spans="1:34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1999</v>
      </c>
      <c r="I1657" s="20" t="s">
        <v>2000</v>
      </c>
      <c r="J1657" s="20" t="s">
        <v>2001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2110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</v>
      </c>
      <c r="X1657" s="32"/>
      <c r="Y1657" s="32">
        <f t="shared" si="188"/>
        <v>2831.71296296296</v>
      </c>
      <c r="Z1657" s="32">
        <f t="shared" si="185"/>
        <v>226.537037037037</v>
      </c>
      <c r="AA1657" s="34">
        <v>1875.3412907818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ht="14.25" spans="1:34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1999</v>
      </c>
      <c r="I1658" s="20" t="s">
        <v>2000</v>
      </c>
      <c r="J1658" s="20" t="s">
        <v>2001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2111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ht="14.25" spans="1:34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1999</v>
      </c>
      <c r="I1659" s="20" t="s">
        <v>2000</v>
      </c>
      <c r="J1659" s="20" t="s">
        <v>2001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2112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</v>
      </c>
      <c r="W1659" s="32">
        <f t="shared" si="190"/>
        <v>102643.039215686</v>
      </c>
      <c r="X1659" s="32"/>
      <c r="Y1659" s="32">
        <f t="shared" si="188"/>
        <v>102643.039215686</v>
      </c>
      <c r="Z1659" s="32">
        <f t="shared" si="185"/>
        <v>2052.86078431373</v>
      </c>
      <c r="AA1659" s="34">
        <v>91964.8482213894</v>
      </c>
      <c r="AB1659" s="24">
        <v>0.065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ht="14.25" spans="1:34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1999</v>
      </c>
      <c r="I1660" s="20" t="s">
        <v>2000</v>
      </c>
      <c r="J1660" s="20" t="s">
        <v>2001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2112</v>
      </c>
      <c r="R1660" s="40"/>
      <c r="S1660" s="34">
        <v>45277.6</v>
      </c>
      <c r="T1660" s="34"/>
      <c r="U1660" s="50">
        <v>45277.6</v>
      </c>
      <c r="V1660" s="32">
        <f t="shared" si="189"/>
        <v>0</v>
      </c>
      <c r="W1660" s="32">
        <f t="shared" si="190"/>
        <v>45277.6</v>
      </c>
      <c r="X1660" s="32"/>
      <c r="Y1660" s="32">
        <f t="shared" si="188"/>
        <v>45277.6</v>
      </c>
      <c r="Z1660" s="32">
        <f t="shared" si="185"/>
        <v>0</v>
      </c>
      <c r="AA1660" s="34">
        <v>0</v>
      </c>
      <c r="AB1660" s="24">
        <v>0.065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ht="14.25" spans="1:34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2113</v>
      </c>
      <c r="F1661" s="20" t="s">
        <v>2113</v>
      </c>
      <c r="G1661" s="20" t="s">
        <v>2113</v>
      </c>
      <c r="H1661" s="20" t="s">
        <v>1999</v>
      </c>
      <c r="I1661" s="20" t="s">
        <v>2000</v>
      </c>
      <c r="J1661" s="20" t="s">
        <v>2001</v>
      </c>
      <c r="K1661" s="20" t="str">
        <f>VLOOKUP(H1661,[1]媒体表!C:T,18,0)</f>
        <v>北京多彩</v>
      </c>
      <c r="L1661" s="20" t="s">
        <v>2113</v>
      </c>
      <c r="M1661" s="47"/>
      <c r="N1661" s="20" t="s">
        <v>42</v>
      </c>
      <c r="O1661" s="20" t="s">
        <v>82</v>
      </c>
      <c r="P1661" s="47">
        <v>0</v>
      </c>
      <c r="Q1661" s="48" t="s">
        <v>2114</v>
      </c>
      <c r="R1661" s="40"/>
      <c r="S1661" s="34">
        <v>352.300000000001</v>
      </c>
      <c r="T1661" s="34"/>
      <c r="U1661" s="32">
        <v>0</v>
      </c>
      <c r="V1661" s="32">
        <f t="shared" si="189"/>
        <v>352.300000000001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0.065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ht="14.25" spans="1:34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2115</v>
      </c>
      <c r="F1662" s="20" t="s">
        <v>2115</v>
      </c>
      <c r="G1662" s="20" t="s">
        <v>2115</v>
      </c>
      <c r="H1662" s="20" t="s">
        <v>1999</v>
      </c>
      <c r="I1662" s="20" t="s">
        <v>2000</v>
      </c>
      <c r="J1662" s="20" t="s">
        <v>2001</v>
      </c>
      <c r="K1662" s="20" t="str">
        <f>VLOOKUP(H1662,[1]媒体表!C:T,18,0)</f>
        <v>北京多彩</v>
      </c>
      <c r="L1662" s="20" t="s">
        <v>2115</v>
      </c>
      <c r="M1662" s="47"/>
      <c r="N1662" s="20" t="s">
        <v>42</v>
      </c>
      <c r="O1662" s="20" t="s">
        <v>43</v>
      </c>
      <c r="P1662" s="47">
        <v>0.02</v>
      </c>
      <c r="Q1662" s="48" t="s">
        <v>2116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0.065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ht="14.25" spans="1:34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1999</v>
      </c>
      <c r="I1663" s="20" t="s">
        <v>2000</v>
      </c>
      <c r="J1663" s="20" t="s">
        <v>2001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2117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</v>
      </c>
      <c r="W1663" s="32">
        <f t="shared" si="190"/>
        <v>23949.4230769231</v>
      </c>
      <c r="X1663" s="32"/>
      <c r="Y1663" s="32">
        <f t="shared" si="188"/>
        <v>23949.4230769231</v>
      </c>
      <c r="Z1663" s="32">
        <f t="shared" si="185"/>
        <v>957.976923076923</v>
      </c>
      <c r="AA1663" s="34">
        <v>15273.4000379363</v>
      </c>
      <c r="AB1663" s="24">
        <v>0.065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ht="14.25" spans="1:34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1999</v>
      </c>
      <c r="I1664" s="20" t="s">
        <v>2000</v>
      </c>
      <c r="J1664" s="20" t="s">
        <v>2001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2118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ht="14.25" spans="1:34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1999</v>
      </c>
      <c r="I1665" s="20" t="s">
        <v>2000</v>
      </c>
      <c r="J1665" s="20" t="s">
        <v>2001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2119</v>
      </c>
      <c r="R1665" s="40"/>
      <c r="S1665" s="34">
        <v>20491.6</v>
      </c>
      <c r="T1665" s="34">
        <v>150000</v>
      </c>
      <c r="U1665" s="32">
        <v>102426.8</v>
      </c>
      <c r="V1665" s="32">
        <f t="shared" si="189"/>
        <v>68064.8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</v>
      </c>
      <c r="AB1665" s="24">
        <v>0.065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ht="14.25" spans="1:34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1999</v>
      </c>
      <c r="I1666" s="20" t="s">
        <v>2000</v>
      </c>
      <c r="J1666" s="20" t="s">
        <v>2001</v>
      </c>
      <c r="K1666" s="20" t="str">
        <f>VLOOKUP(H1666,[1]媒体表!C:T,18,0)</f>
        <v>北京多彩</v>
      </c>
      <c r="L1666" s="20" t="s">
        <v>1694</v>
      </c>
      <c r="M1666" s="47"/>
      <c r="N1666" s="20" t="s">
        <v>59</v>
      </c>
      <c r="O1666" s="20" t="s">
        <v>43</v>
      </c>
      <c r="P1666" s="47">
        <v>0.06</v>
      </c>
      <c r="Q1666" s="48" t="s">
        <v>2120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ht="14.25" spans="1:34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2121</v>
      </c>
      <c r="F1667" s="20" t="s">
        <v>2121</v>
      </c>
      <c r="G1667" s="20" t="s">
        <v>2121</v>
      </c>
      <c r="H1667" s="20" t="s">
        <v>1999</v>
      </c>
      <c r="I1667" s="20" t="s">
        <v>2000</v>
      </c>
      <c r="J1667" s="20" t="s">
        <v>2001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2122</v>
      </c>
      <c r="R1667" s="40"/>
      <c r="S1667" s="34">
        <v>62717.29</v>
      </c>
      <c r="T1667" s="34"/>
      <c r="U1667" s="32">
        <v>275109.23</v>
      </c>
      <c r="V1667" s="32">
        <f t="shared" si="189"/>
        <v>-212391.94</v>
      </c>
      <c r="W1667" s="32">
        <f t="shared" si="190"/>
        <v>262008.79047619</v>
      </c>
      <c r="X1667" s="32"/>
      <c r="Y1667" s="32">
        <f t="shared" si="188"/>
        <v>262008.79047619</v>
      </c>
      <c r="Z1667" s="32">
        <f t="shared" si="185"/>
        <v>13100.4395238095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ht="14.25" spans="1:34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2121</v>
      </c>
      <c r="F1668" s="20" t="s">
        <v>2121</v>
      </c>
      <c r="G1668" s="20" t="s">
        <v>2121</v>
      </c>
      <c r="H1668" s="20" t="s">
        <v>1999</v>
      </c>
      <c r="I1668" s="20" t="s">
        <v>2000</v>
      </c>
      <c r="J1668" s="20" t="s">
        <v>2001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2122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</v>
      </c>
      <c r="X1668" s="32"/>
      <c r="Y1668" s="32">
        <f t="shared" si="188"/>
        <v>64168.9603960395</v>
      </c>
      <c r="Z1668" s="32">
        <f t="shared" si="185"/>
        <v>641.689603960396</v>
      </c>
      <c r="AA1668" s="34">
        <v>0</v>
      </c>
      <c r="AB1668" s="24">
        <v>0.065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ht="14.25" spans="1:34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2121</v>
      </c>
      <c r="F1669" s="20" t="s">
        <v>2121</v>
      </c>
      <c r="G1669" s="20" t="s">
        <v>2121</v>
      </c>
      <c r="H1669" s="20" t="s">
        <v>1999</v>
      </c>
      <c r="I1669" s="20" t="s">
        <v>2000</v>
      </c>
      <c r="J1669" s="20" t="s">
        <v>2001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2122</v>
      </c>
      <c r="R1669" s="40"/>
      <c r="S1669" s="34">
        <v>0</v>
      </c>
      <c r="T1669" s="34">
        <v>2650000</v>
      </c>
      <c r="U1669" s="32">
        <v>2134048.32</v>
      </c>
      <c r="V1669" s="32">
        <f t="shared" si="189"/>
        <v>515951.68</v>
      </c>
      <c r="W1669" s="32">
        <f t="shared" si="190"/>
        <v>2134048.32</v>
      </c>
      <c r="X1669" s="32"/>
      <c r="Y1669" s="32">
        <f t="shared" si="188"/>
        <v>2134048.32</v>
      </c>
      <c r="Z1669" s="32">
        <f t="shared" si="185"/>
        <v>0</v>
      </c>
      <c r="AA1669" s="34">
        <v>1348356.41920933</v>
      </c>
      <c r="AB1669" s="24">
        <v>0.065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ht="14.25" spans="1:34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2121</v>
      </c>
      <c r="F1670" s="20" t="s">
        <v>2121</v>
      </c>
      <c r="G1670" s="20" t="s">
        <v>2121</v>
      </c>
      <c r="H1670" s="20" t="s">
        <v>1999</v>
      </c>
      <c r="I1670" s="20" t="s">
        <v>2000</v>
      </c>
      <c r="J1670" s="20" t="s">
        <v>2001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2122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32983.8761904762</v>
      </c>
      <c r="X1670" s="32"/>
      <c r="Y1670" s="32">
        <f t="shared" si="188"/>
        <v>32983.8761904762</v>
      </c>
      <c r="Z1670" s="32">
        <f t="shared" si="185"/>
        <v>1649.19380952381</v>
      </c>
      <c r="AA1670" s="34">
        <v>21237.2520878072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ht="14.25" spans="1:34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2121</v>
      </c>
      <c r="F1671" s="20" t="s">
        <v>2121</v>
      </c>
      <c r="G1671" s="20" t="s">
        <v>2121</v>
      </c>
      <c r="H1671" s="20" t="s">
        <v>1999</v>
      </c>
      <c r="I1671" s="20" t="s">
        <v>2000</v>
      </c>
      <c r="J1671" s="20" t="s">
        <v>2001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2123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0.065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ht="14.25" spans="1:34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2121</v>
      </c>
      <c r="F1672" s="20" t="s">
        <v>2121</v>
      </c>
      <c r="G1672" s="20" t="s">
        <v>2121</v>
      </c>
      <c r="H1672" s="20" t="s">
        <v>1999</v>
      </c>
      <c r="I1672" s="20" t="s">
        <v>2000</v>
      </c>
      <c r="J1672" s="20" t="s">
        <v>2001</v>
      </c>
      <c r="K1672" s="20" t="str">
        <f>VLOOKUP(H1672,[1]媒体表!C:T,18,0)</f>
        <v>北京多彩</v>
      </c>
      <c r="L1672" s="20" t="s">
        <v>2124</v>
      </c>
      <c r="M1672" s="47"/>
      <c r="N1672" s="20" t="s">
        <v>42</v>
      </c>
      <c r="O1672" s="20" t="s">
        <v>43</v>
      </c>
      <c r="P1672" s="47">
        <v>0.01</v>
      </c>
      <c r="Q1672" s="48" t="s">
        <v>2125</v>
      </c>
      <c r="R1672" s="40"/>
      <c r="S1672" s="34">
        <v>73906.9</v>
      </c>
      <c r="T1672" s="34"/>
      <c r="U1672" s="32">
        <v>0</v>
      </c>
      <c r="V1672" s="32">
        <f t="shared" si="189"/>
        <v>73906.9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0.065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ht="14.25" spans="1:34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2121</v>
      </c>
      <c r="F1673" s="20" t="s">
        <v>2121</v>
      </c>
      <c r="G1673" s="20" t="s">
        <v>2121</v>
      </c>
      <c r="H1673" s="20" t="s">
        <v>1999</v>
      </c>
      <c r="I1673" s="20" t="s">
        <v>2000</v>
      </c>
      <c r="J1673" s="20" t="s">
        <v>2001</v>
      </c>
      <c r="K1673" s="20" t="str">
        <f>VLOOKUP(H1673,[1]媒体表!C:T,18,0)</f>
        <v>北京多彩</v>
      </c>
      <c r="L1673" s="20" t="s">
        <v>2121</v>
      </c>
      <c r="M1673" s="47"/>
      <c r="N1673" s="20" t="s">
        <v>42</v>
      </c>
      <c r="O1673" s="20" t="s">
        <v>43</v>
      </c>
      <c r="P1673" s="47">
        <v>0.01</v>
      </c>
      <c r="Q1673" s="48" t="s">
        <v>2126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0.065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ht="14.25" spans="1:34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2127</v>
      </c>
      <c r="F1674" s="20" t="s">
        <v>2127</v>
      </c>
      <c r="G1674" s="20" t="s">
        <v>2127</v>
      </c>
      <c r="H1674" s="20" t="s">
        <v>1999</v>
      </c>
      <c r="I1674" s="20" t="s">
        <v>2000</v>
      </c>
      <c r="J1674" s="20" t="s">
        <v>2001</v>
      </c>
      <c r="K1674" s="20" t="str">
        <f>VLOOKUP(H1674,[1]媒体表!C:T,18,0)</f>
        <v>北京多彩</v>
      </c>
      <c r="L1674" s="20" t="s">
        <v>2128</v>
      </c>
      <c r="M1674" s="47"/>
      <c r="N1674" s="20" t="s">
        <v>42</v>
      </c>
      <c r="O1674" s="20" t="s">
        <v>43</v>
      </c>
      <c r="P1674" s="47">
        <v>0.02</v>
      </c>
      <c r="Q1674" s="48" t="s">
        <v>2129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0.065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ht="14.25" spans="1:34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1999</v>
      </c>
      <c r="I1675" s="20" t="s">
        <v>2000</v>
      </c>
      <c r="J1675" s="20" t="s">
        <v>2001</v>
      </c>
      <c r="K1675" s="20" t="str">
        <f>VLOOKUP(H1675,[1]媒体表!C:T,18,0)</f>
        <v>北京多彩</v>
      </c>
      <c r="L1675" s="20" t="s">
        <v>2130</v>
      </c>
      <c r="M1675" s="47"/>
      <c r="N1675" s="20" t="s">
        <v>42</v>
      </c>
      <c r="O1675" s="20" t="s">
        <v>82</v>
      </c>
      <c r="P1675" s="47">
        <v>0</v>
      </c>
      <c r="Q1675" s="48" t="s">
        <v>2131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204054.7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0.065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ht="14.25" spans="1:34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1999</v>
      </c>
      <c r="I1676" s="20" t="s">
        <v>2000</v>
      </c>
      <c r="J1676" s="20" t="s">
        <v>2001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2132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0.065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ht="14.25" spans="1:34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2133</v>
      </c>
      <c r="F1677" s="20" t="s">
        <v>2133</v>
      </c>
      <c r="G1677" s="20" t="s">
        <v>2133</v>
      </c>
      <c r="H1677" s="20" t="s">
        <v>1999</v>
      </c>
      <c r="I1677" s="20" t="s">
        <v>2000</v>
      </c>
      <c r="J1677" s="20" t="s">
        <v>2001</v>
      </c>
      <c r="K1677" s="20" t="str">
        <f>VLOOKUP(H1677,[1]媒体表!C:T,18,0)</f>
        <v>北京多彩</v>
      </c>
      <c r="L1677" s="20" t="s">
        <v>2134</v>
      </c>
      <c r="M1677" s="47"/>
      <c r="N1677" s="20" t="s">
        <v>42</v>
      </c>
      <c r="O1677" s="20" t="s">
        <v>82</v>
      </c>
      <c r="P1677" s="47">
        <v>0</v>
      </c>
      <c r="Q1677" s="48" t="s">
        <v>2135</v>
      </c>
      <c r="R1677" s="40"/>
      <c r="S1677" s="34">
        <v>0</v>
      </c>
      <c r="T1677" s="34">
        <v>40000</v>
      </c>
      <c r="U1677" s="49">
        <v>35797.37</v>
      </c>
      <c r="V1677" s="32">
        <f t="shared" si="189"/>
        <v>4202.63</v>
      </c>
      <c r="W1677" s="32">
        <f t="shared" si="190"/>
        <v>35797.37</v>
      </c>
      <c r="X1677" s="32"/>
      <c r="Y1677" s="32">
        <f t="shared" si="188"/>
        <v>35797.37</v>
      </c>
      <c r="Z1677" s="32">
        <f t="shared" si="185"/>
        <v>0</v>
      </c>
      <c r="AA1677" s="34">
        <v>23813.7836865047</v>
      </c>
      <c r="AB1677" s="24">
        <v>0.065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ht="14.25" spans="1:34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2136</v>
      </c>
      <c r="F1678" s="20" t="s">
        <v>2136</v>
      </c>
      <c r="G1678" s="20" t="s">
        <v>2136</v>
      </c>
      <c r="H1678" s="20" t="s">
        <v>1999</v>
      </c>
      <c r="I1678" s="20" t="s">
        <v>2000</v>
      </c>
      <c r="J1678" s="20" t="s">
        <v>2001</v>
      </c>
      <c r="K1678" s="20" t="str">
        <f>VLOOKUP(H1678,[1]媒体表!C:T,18,0)</f>
        <v>北京多彩</v>
      </c>
      <c r="L1678" s="20" t="s">
        <v>2136</v>
      </c>
      <c r="M1678" s="47"/>
      <c r="N1678" s="20" t="s">
        <v>59</v>
      </c>
      <c r="O1678" s="20" t="s">
        <v>43</v>
      </c>
      <c r="P1678" s="47">
        <v>0.04</v>
      </c>
      <c r="Q1678" s="48" t="s">
        <v>2137</v>
      </c>
      <c r="R1678" s="40"/>
      <c r="S1678" s="34">
        <v>-1265.6</v>
      </c>
      <c r="T1678" s="34"/>
      <c r="U1678" s="32">
        <v>0</v>
      </c>
      <c r="V1678" s="32">
        <f t="shared" si="189"/>
        <v>-1265.6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ht="14.25" spans="1:34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2136</v>
      </c>
      <c r="F1679" s="20" t="s">
        <v>2136</v>
      </c>
      <c r="G1679" s="20" t="s">
        <v>2136</v>
      </c>
      <c r="H1679" s="20" t="s">
        <v>1999</v>
      </c>
      <c r="I1679" s="20" t="s">
        <v>2000</v>
      </c>
      <c r="J1679" s="20" t="s">
        <v>2001</v>
      </c>
      <c r="K1679" s="20" t="str">
        <f>VLOOKUP(H1679,[1]媒体表!C:T,18,0)</f>
        <v>北京多彩</v>
      </c>
      <c r="L1679" s="20" t="s">
        <v>2136</v>
      </c>
      <c r="M1679" s="47"/>
      <c r="N1679" s="20" t="s">
        <v>42</v>
      </c>
      <c r="O1679" s="20" t="s">
        <v>43</v>
      </c>
      <c r="P1679" s="47">
        <v>0.02</v>
      </c>
      <c r="Q1679" s="48" t="s">
        <v>2137</v>
      </c>
      <c r="R1679" s="40"/>
      <c r="S1679" s="34">
        <v>2349.68</v>
      </c>
      <c r="T1679" s="34"/>
      <c r="U1679" s="32">
        <v>0</v>
      </c>
      <c r="V1679" s="32">
        <f t="shared" si="189"/>
        <v>2349.68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0.065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ht="14.25" spans="1:34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2138</v>
      </c>
      <c r="F1680" s="20" t="s">
        <v>2138</v>
      </c>
      <c r="G1680" s="20" t="s">
        <v>2138</v>
      </c>
      <c r="H1680" s="20" t="s">
        <v>1999</v>
      </c>
      <c r="I1680" s="20" t="s">
        <v>2000</v>
      </c>
      <c r="J1680" s="20" t="s">
        <v>2001</v>
      </c>
      <c r="K1680" s="20" t="str">
        <f>VLOOKUP(H1680,[1]媒体表!C:T,18,0)</f>
        <v>北京多彩</v>
      </c>
      <c r="L1680" s="20" t="s">
        <v>2138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0.065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ht="14.25" spans="1:34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2139</v>
      </c>
      <c r="F1681" s="20" t="s">
        <v>2139</v>
      </c>
      <c r="G1681" s="20" t="s">
        <v>2139</v>
      </c>
      <c r="H1681" s="20" t="s">
        <v>1999</v>
      </c>
      <c r="I1681" s="20" t="s">
        <v>2000</v>
      </c>
      <c r="J1681" s="20" t="s">
        <v>2001</v>
      </c>
      <c r="K1681" s="20" t="str">
        <f>VLOOKUP(H1681,[1]媒体表!C:T,18,0)</f>
        <v>北京多彩</v>
      </c>
      <c r="L1681" s="20" t="s">
        <v>2139</v>
      </c>
      <c r="M1681" s="47"/>
      <c r="N1681" s="20" t="s">
        <v>42</v>
      </c>
      <c r="O1681" s="20" t="s">
        <v>82</v>
      </c>
      <c r="P1681" s="47">
        <v>0</v>
      </c>
      <c r="Q1681" s="48" t="s">
        <v>2140</v>
      </c>
      <c r="R1681" s="40"/>
      <c r="S1681" s="34">
        <v>19938.4</v>
      </c>
      <c r="T1681" s="34">
        <v>60000</v>
      </c>
      <c r="U1681" s="32">
        <v>51480.9</v>
      </c>
      <c r="V1681" s="32">
        <f t="shared" si="189"/>
        <v>28457.5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31568.4647941171</v>
      </c>
      <c r="AB1681" s="24">
        <v>0.065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ht="14.25" spans="1:34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2141</v>
      </c>
      <c r="F1682" s="20" t="s">
        <v>2141</v>
      </c>
      <c r="G1682" s="20" t="s">
        <v>2141</v>
      </c>
      <c r="H1682" s="20" t="s">
        <v>1999</v>
      </c>
      <c r="I1682" s="20" t="s">
        <v>2000</v>
      </c>
      <c r="J1682" s="20" t="s">
        <v>2001</v>
      </c>
      <c r="K1682" s="20" t="str">
        <f>VLOOKUP(H1682,[1]媒体表!C:T,18,0)</f>
        <v>北京多彩</v>
      </c>
      <c r="L1682" s="20" t="s">
        <v>2134</v>
      </c>
      <c r="M1682" s="47"/>
      <c r="N1682" s="20" t="s">
        <v>59</v>
      </c>
      <c r="O1682" s="20" t="s">
        <v>43</v>
      </c>
      <c r="P1682" s="47">
        <v>0.04</v>
      </c>
      <c r="Q1682" s="48" t="s">
        <v>2142</v>
      </c>
      <c r="R1682" s="40"/>
      <c r="S1682" s="34">
        <v>2381.07</v>
      </c>
      <c r="T1682" s="34"/>
      <c r="U1682" s="32">
        <v>0</v>
      </c>
      <c r="V1682" s="32">
        <f t="shared" si="189"/>
        <v>2381.07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ht="14.25" spans="1:34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2141</v>
      </c>
      <c r="F1683" s="20" t="s">
        <v>2141</v>
      </c>
      <c r="G1683" s="20" t="s">
        <v>2141</v>
      </c>
      <c r="H1683" s="20" t="s">
        <v>1999</v>
      </c>
      <c r="I1683" s="20" t="s">
        <v>2000</v>
      </c>
      <c r="J1683" s="20" t="s">
        <v>2001</v>
      </c>
      <c r="K1683" s="20" t="str">
        <f>VLOOKUP(H1683,[1]媒体表!C:T,18,0)</f>
        <v>北京多彩</v>
      </c>
      <c r="L1683" s="20" t="s">
        <v>2134</v>
      </c>
      <c r="M1683" s="47"/>
      <c r="N1683" s="20" t="s">
        <v>42</v>
      </c>
      <c r="O1683" s="20" t="s">
        <v>43</v>
      </c>
      <c r="P1683" s="47">
        <v>0.02</v>
      </c>
      <c r="Q1683" s="48" t="s">
        <v>2135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2977.87254901961</v>
      </c>
      <c r="X1683" s="32"/>
      <c r="Y1683" s="32">
        <f t="shared" si="188"/>
        <v>2977.87254901961</v>
      </c>
      <c r="Z1683" s="32">
        <f t="shared" ref="Z1683:Z1746" si="191">U1683-W1683</f>
        <v>59.5574509803923</v>
      </c>
      <c r="AA1683" s="34">
        <v>0</v>
      </c>
      <c r="AB1683" s="24">
        <v>0.065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ht="14.25" spans="1:34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1999</v>
      </c>
      <c r="I1684" s="20" t="s">
        <v>2000</v>
      </c>
      <c r="J1684" s="20" t="s">
        <v>2001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2143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ht="14.25" spans="1:34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1999</v>
      </c>
      <c r="I1685" s="20" t="s">
        <v>2000</v>
      </c>
      <c r="J1685" s="20" t="s">
        <v>2001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2143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</v>
      </c>
      <c r="X1685" s="32">
        <f t="shared" si="192"/>
        <v>16416.587254902</v>
      </c>
      <c r="Y1685" s="32">
        <f t="shared" si="188"/>
        <v>344748.332352941</v>
      </c>
      <c r="Z1685" s="32">
        <f t="shared" si="191"/>
        <v>6566.63490196079</v>
      </c>
      <c r="AA1685" s="34">
        <v>0</v>
      </c>
      <c r="AB1685" s="24">
        <v>0.065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ht="14.25" spans="1:34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1999</v>
      </c>
      <c r="I1686" s="20" t="s">
        <v>2000</v>
      </c>
      <c r="J1686" s="20" t="s">
        <v>2001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2143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0.065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ht="14.25" spans="1:34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1999</v>
      </c>
      <c r="I1687" s="20" t="s">
        <v>2000</v>
      </c>
      <c r="J1687" s="20" t="s">
        <v>2001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2143</v>
      </c>
      <c r="R1687" s="43">
        <v>0.05</v>
      </c>
      <c r="S1687" s="34">
        <v>-1757135.47</v>
      </c>
      <c r="T1687" s="34"/>
      <c r="U1687" s="32">
        <v>540051.95</v>
      </c>
      <c r="V1687" s="32">
        <f t="shared" si="189"/>
        <v>-2297187.42</v>
      </c>
      <c r="W1687" s="32">
        <f t="shared" si="190"/>
        <v>519280.721153846</v>
      </c>
      <c r="X1687" s="32">
        <f t="shared" si="192"/>
        <v>25964.0360576923</v>
      </c>
      <c r="Y1687" s="32">
        <f t="shared" si="188"/>
        <v>545244.757211538</v>
      </c>
      <c r="Z1687" s="32">
        <f t="shared" si="191"/>
        <v>20771.2288461539</v>
      </c>
      <c r="AA1687" s="34">
        <v>331163.809695815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ht="14.25" spans="1:34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2144</v>
      </c>
      <c r="F1688" s="20" t="s">
        <v>2144</v>
      </c>
      <c r="G1688" s="20" t="s">
        <v>2144</v>
      </c>
      <c r="H1688" s="20" t="s">
        <v>1999</v>
      </c>
      <c r="I1688" s="20" t="s">
        <v>2000</v>
      </c>
      <c r="J1688" s="20" t="s">
        <v>2001</v>
      </c>
      <c r="K1688" s="20" t="str">
        <f>VLOOKUP(H1688,[1]媒体表!C:T,18,0)</f>
        <v>北京多彩</v>
      </c>
      <c r="L1688" s="20" t="s">
        <v>2144</v>
      </c>
      <c r="M1688" s="47"/>
      <c r="N1688" s="20" t="s">
        <v>42</v>
      </c>
      <c r="O1688" s="20" t="s">
        <v>43</v>
      </c>
      <c r="P1688" s="47">
        <v>0.02</v>
      </c>
      <c r="Q1688" s="48" t="s">
        <v>2145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5093.06</v>
      </c>
      <c r="W1688" s="32">
        <f>(U1688+5093.06)/(1+P1688)</f>
        <v>15820.5490196078</v>
      </c>
      <c r="X1688" s="32"/>
      <c r="Y1688" s="32">
        <f t="shared" si="188"/>
        <v>15820.5490196078</v>
      </c>
      <c r="Z1688" s="32">
        <f t="shared" si="191"/>
        <v>-4776.64901960784</v>
      </c>
      <c r="AA1688" s="34">
        <v>11865.2603372076</v>
      </c>
      <c r="AB1688" s="24">
        <v>0.065</v>
      </c>
      <c r="AC1688" s="36"/>
      <c r="AD1688" s="36"/>
      <c r="AE1688" s="34" t="s">
        <v>2146</v>
      </c>
      <c r="AF1688" s="34" t="s">
        <v>44</v>
      </c>
      <c r="AG1688" s="24">
        <v>0</v>
      </c>
      <c r="AH1688" s="38" t="e">
        <v>#N/A</v>
      </c>
    </row>
    <row r="1689" ht="14.25" spans="1:34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2144</v>
      </c>
      <c r="F1689" s="20" t="s">
        <v>2144</v>
      </c>
      <c r="G1689" s="20" t="s">
        <v>2144</v>
      </c>
      <c r="H1689" s="20" t="s">
        <v>1999</v>
      </c>
      <c r="I1689" s="20" t="s">
        <v>2000</v>
      </c>
      <c r="J1689" s="20" t="s">
        <v>2001</v>
      </c>
      <c r="K1689" s="20" t="str">
        <f>VLOOKUP(H1689,[1]媒体表!C:T,18,0)</f>
        <v>北京多彩</v>
      </c>
      <c r="L1689" s="20" t="s">
        <v>2144</v>
      </c>
      <c r="M1689" s="47"/>
      <c r="N1689" s="20" t="s">
        <v>42</v>
      </c>
      <c r="O1689" s="20" t="s">
        <v>43</v>
      </c>
      <c r="P1689" s="47">
        <v>0.02</v>
      </c>
      <c r="Q1689" s="48" t="s">
        <v>2147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0.065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ht="14.25" spans="1:34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1999</v>
      </c>
      <c r="I1690" s="20" t="s">
        <v>2000</v>
      </c>
      <c r="J1690" s="20" t="s">
        <v>2001</v>
      </c>
      <c r="K1690" s="20" t="str">
        <f>VLOOKUP(H1690,[1]媒体表!C:T,18,0)</f>
        <v>北京多彩</v>
      </c>
      <c r="L1690" s="20" t="s">
        <v>2148</v>
      </c>
      <c r="M1690" s="47"/>
      <c r="N1690" s="20" t="s">
        <v>59</v>
      </c>
      <c r="O1690" s="20" t="s">
        <v>43</v>
      </c>
      <c r="P1690" s="47">
        <v>0.08</v>
      </c>
      <c r="Q1690" s="48" t="s">
        <v>2149</v>
      </c>
      <c r="R1690" s="40"/>
      <c r="S1690" s="34">
        <v>9.68000000001007</v>
      </c>
      <c r="T1690" s="34"/>
      <c r="U1690" s="32">
        <v>0</v>
      </c>
      <c r="V1690" s="32">
        <f t="shared" si="189"/>
        <v>9.68000000001007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ht="14.25" spans="1:34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1999</v>
      </c>
      <c r="I1691" s="20" t="s">
        <v>2000</v>
      </c>
      <c r="J1691" s="20" t="s">
        <v>2001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0.015</v>
      </c>
      <c r="Q1691" s="48" t="s">
        <v>2150</v>
      </c>
      <c r="R1691" s="40"/>
      <c r="S1691" s="34">
        <v>319213.78</v>
      </c>
      <c r="T1691" s="34">
        <v>2300000</v>
      </c>
      <c r="U1691" s="49">
        <v>2619213.78</v>
      </c>
      <c r="V1691" s="32">
        <f t="shared" si="189"/>
        <v>0</v>
      </c>
      <c r="W1691" s="32">
        <f t="shared" si="193"/>
        <v>2580506.18719212</v>
      </c>
      <c r="X1691" s="32"/>
      <c r="Y1691" s="32">
        <f t="shared" ref="Y1691:Y1754" si="194">W1691+X1691</f>
        <v>2580506.18719212</v>
      </c>
      <c r="Z1691" s="32">
        <f t="shared" si="191"/>
        <v>38707.5928078815</v>
      </c>
      <c r="AA1691" s="34">
        <v>3377342.95484637</v>
      </c>
      <c r="AB1691" s="24">
        <v>0.065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ht="14.25" spans="1:34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1999</v>
      </c>
      <c r="I1692" s="20" t="s">
        <v>2000</v>
      </c>
      <c r="J1692" s="20" t="s">
        <v>2001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2150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0.065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ht="14.25" spans="1:34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1999</v>
      </c>
      <c r="I1693" s="20" t="s">
        <v>2000</v>
      </c>
      <c r="J1693" s="20" t="s">
        <v>2001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2151</v>
      </c>
      <c r="R1693" s="40"/>
      <c r="S1693" s="34">
        <v>36089.2</v>
      </c>
      <c r="T1693" s="34"/>
      <c r="U1693" s="32">
        <v>0</v>
      </c>
      <c r="V1693" s="32">
        <f t="shared" si="189"/>
        <v>36089.2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0.065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ht="14.25" spans="1:34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2152</v>
      </c>
      <c r="F1694" s="20" t="s">
        <v>2152</v>
      </c>
      <c r="G1694" s="20" t="s">
        <v>2152</v>
      </c>
      <c r="H1694" s="20" t="s">
        <v>1999</v>
      </c>
      <c r="I1694" s="20" t="s">
        <v>2000</v>
      </c>
      <c r="J1694" s="20" t="s">
        <v>2001</v>
      </c>
      <c r="K1694" s="20" t="str">
        <f>VLOOKUP(H1694,[1]媒体表!C:T,18,0)</f>
        <v>北京多彩</v>
      </c>
      <c r="L1694" s="20" t="s">
        <v>2152</v>
      </c>
      <c r="M1694" s="47"/>
      <c r="N1694" s="20" t="s">
        <v>42</v>
      </c>
      <c r="O1694" s="20" t="s">
        <v>82</v>
      </c>
      <c r="P1694" s="47">
        <v>0</v>
      </c>
      <c r="Q1694" s="48" t="s">
        <v>2153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175813.04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</v>
      </c>
      <c r="AB1694" s="24">
        <v>0.065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ht="14.25" spans="1:34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1999</v>
      </c>
      <c r="I1695" s="20" t="s">
        <v>2000</v>
      </c>
      <c r="J1695" s="20" t="s">
        <v>2001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2154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</v>
      </c>
      <c r="X1695" s="32"/>
      <c r="Y1695" s="32">
        <f t="shared" si="194"/>
        <v>51215.0192307692</v>
      </c>
      <c r="Z1695" s="32">
        <f t="shared" si="191"/>
        <v>2048.60076923077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ht="14.25" spans="1:34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1999</v>
      </c>
      <c r="I1696" s="20" t="s">
        <v>2000</v>
      </c>
      <c r="J1696" s="20" t="s">
        <v>2001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2154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113046.983385166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ht="14.25" spans="1:34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1999</v>
      </c>
      <c r="I1697" s="20" t="s">
        <v>2000</v>
      </c>
      <c r="J1697" s="20" t="s">
        <v>2001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2155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66004.04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0.065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ht="14.25" spans="1:34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1706</v>
      </c>
      <c r="F1698" s="20" t="s">
        <v>1706</v>
      </c>
      <c r="G1698" s="20" t="s">
        <v>1706</v>
      </c>
      <c r="H1698" s="20" t="s">
        <v>1999</v>
      </c>
      <c r="I1698" s="20" t="s">
        <v>2000</v>
      </c>
      <c r="J1698" s="20" t="s">
        <v>2001</v>
      </c>
      <c r="K1698" s="20" t="str">
        <f>VLOOKUP(H1698,[1]媒体表!C:T,18,0)</f>
        <v>北京多彩</v>
      </c>
      <c r="L1698" s="20" t="s">
        <v>1706</v>
      </c>
      <c r="M1698" s="47"/>
      <c r="N1698" s="20" t="s">
        <v>42</v>
      </c>
      <c r="O1698" s="20" t="s">
        <v>82</v>
      </c>
      <c r="P1698" s="47">
        <v>0</v>
      </c>
      <c r="Q1698" s="48" t="s">
        <v>2156</v>
      </c>
      <c r="R1698" s="40"/>
      <c r="S1698" s="34">
        <v>187467.21</v>
      </c>
      <c r="T1698" s="34">
        <v>4619247.45</v>
      </c>
      <c r="U1698" s="32">
        <v>4290639.31</v>
      </c>
      <c r="V1698" s="32">
        <f t="shared" si="189"/>
        <v>516075.350000001</v>
      </c>
      <c r="W1698" s="32">
        <f t="shared" si="193"/>
        <v>4290639.31</v>
      </c>
      <c r="X1698" s="32"/>
      <c r="Y1698" s="32">
        <f t="shared" si="194"/>
        <v>4290639.31</v>
      </c>
      <c r="Z1698" s="32">
        <f t="shared" si="191"/>
        <v>0</v>
      </c>
      <c r="AA1698" s="34">
        <v>2631051.43853332</v>
      </c>
      <c r="AB1698" s="24">
        <v>0.065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ht="14.25" spans="1:34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2157</v>
      </c>
      <c r="F1699" s="20" t="s">
        <v>2157</v>
      </c>
      <c r="G1699" s="20" t="s">
        <v>2157</v>
      </c>
      <c r="H1699" s="20" t="s">
        <v>1999</v>
      </c>
      <c r="I1699" s="20" t="s">
        <v>2000</v>
      </c>
      <c r="J1699" s="20" t="s">
        <v>2001</v>
      </c>
      <c r="K1699" s="20" t="str">
        <f>VLOOKUP(H1699,[1]媒体表!C:T,18,0)</f>
        <v>北京多彩</v>
      </c>
      <c r="L1699" s="20" t="s">
        <v>2157</v>
      </c>
      <c r="M1699" s="47"/>
      <c r="N1699" s="20" t="s">
        <v>42</v>
      </c>
      <c r="O1699" s="20" t="s">
        <v>43</v>
      </c>
      <c r="P1699" s="47">
        <v>0.01</v>
      </c>
      <c r="Q1699" s="48" t="s">
        <v>2158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54337.1287128713</v>
      </c>
      <c r="X1699" s="32"/>
      <c r="Y1699" s="32">
        <f t="shared" si="194"/>
        <v>54337.1287128713</v>
      </c>
      <c r="Z1699" s="32">
        <f t="shared" si="191"/>
        <v>543.371287128713</v>
      </c>
      <c r="AA1699" s="34">
        <v>33653.1244040711</v>
      </c>
      <c r="AB1699" s="24">
        <v>0.065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ht="14.25" spans="1:34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2159</v>
      </c>
      <c r="F1700" s="20" t="s">
        <v>2160</v>
      </c>
      <c r="G1700" s="20" t="s">
        <v>2159</v>
      </c>
      <c r="H1700" s="20" t="s">
        <v>1999</v>
      </c>
      <c r="I1700" s="20" t="s">
        <v>2000</v>
      </c>
      <c r="J1700" s="20" t="s">
        <v>2001</v>
      </c>
      <c r="K1700" s="20" t="str">
        <f>VLOOKUP(H1700,[1]媒体表!C:T,18,0)</f>
        <v>北京多彩</v>
      </c>
      <c r="L1700" s="20" t="s">
        <v>2161</v>
      </c>
      <c r="M1700" s="47"/>
      <c r="N1700" s="20" t="s">
        <v>42</v>
      </c>
      <c r="O1700" s="20" t="s">
        <v>43</v>
      </c>
      <c r="P1700" s="47">
        <v>0.02</v>
      </c>
      <c r="Q1700" s="48" t="s">
        <v>2162</v>
      </c>
      <c r="R1700" s="40"/>
      <c r="S1700" s="34">
        <v>1478603.17</v>
      </c>
      <c r="T1700" s="34">
        <v>998648</v>
      </c>
      <c r="U1700" s="32">
        <v>2366682.03</v>
      </c>
      <c r="V1700" s="32">
        <f t="shared" si="189"/>
        <v>110569.14</v>
      </c>
      <c r="W1700" s="32">
        <f t="shared" si="193"/>
        <v>2320276.5</v>
      </c>
      <c r="X1700" s="32"/>
      <c r="Y1700" s="32">
        <f t="shared" si="194"/>
        <v>2320276.5</v>
      </c>
      <c r="Z1700" s="32">
        <f t="shared" si="191"/>
        <v>46405.5300000003</v>
      </c>
      <c r="AA1700" s="34">
        <v>1451266.74830713</v>
      </c>
      <c r="AB1700" s="24">
        <v>0.065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ht="14.25" spans="1:34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2163</v>
      </c>
      <c r="F1701" s="20" t="s">
        <v>2163</v>
      </c>
      <c r="G1701" s="20" t="s">
        <v>2163</v>
      </c>
      <c r="H1701" s="20" t="s">
        <v>1999</v>
      </c>
      <c r="I1701" s="20" t="s">
        <v>2000</v>
      </c>
      <c r="J1701" s="20" t="s">
        <v>2001</v>
      </c>
      <c r="K1701" s="20" t="str">
        <f>VLOOKUP(H1701,[1]媒体表!C:T,18,0)</f>
        <v>北京多彩</v>
      </c>
      <c r="L1701" s="20" t="s">
        <v>2164</v>
      </c>
      <c r="M1701" s="47"/>
      <c r="N1701" s="20" t="s">
        <v>333</v>
      </c>
      <c r="O1701" s="20" t="s">
        <v>43</v>
      </c>
      <c r="P1701" s="47">
        <v>0.08</v>
      </c>
      <c r="Q1701" s="48" t="s">
        <v>2165</v>
      </c>
      <c r="R1701" s="40"/>
      <c r="S1701" s="34">
        <v>0.0100000000093132</v>
      </c>
      <c r="T1701" s="34"/>
      <c r="U1701" s="32">
        <v>0</v>
      </c>
      <c r="V1701" s="32">
        <f t="shared" si="189"/>
        <v>0.0100000000093132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ht="14.25" spans="1:34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2166</v>
      </c>
      <c r="F1702" s="20" t="s">
        <v>2166</v>
      </c>
      <c r="G1702" s="20" t="s">
        <v>2166</v>
      </c>
      <c r="H1702" s="20" t="s">
        <v>1999</v>
      </c>
      <c r="I1702" s="20" t="s">
        <v>2000</v>
      </c>
      <c r="J1702" s="20" t="s">
        <v>2001</v>
      </c>
      <c r="K1702" s="20" t="str">
        <f>VLOOKUP(H1702,[1]媒体表!C:T,18,0)</f>
        <v>北京多彩</v>
      </c>
      <c r="L1702" s="20" t="s">
        <v>2166</v>
      </c>
      <c r="M1702" s="47"/>
      <c r="N1702" s="20" t="s">
        <v>42</v>
      </c>
      <c r="O1702" s="20" t="s">
        <v>43</v>
      </c>
      <c r="P1702" s="47">
        <v>0.03</v>
      </c>
      <c r="Q1702" s="48" t="s">
        <v>2167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0.065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ht="14.25" spans="1:34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2168</v>
      </c>
      <c r="F1703" s="20" t="s">
        <v>2168</v>
      </c>
      <c r="G1703" s="20" t="s">
        <v>2168</v>
      </c>
      <c r="H1703" s="20" t="s">
        <v>1999</v>
      </c>
      <c r="I1703" s="20" t="s">
        <v>2000</v>
      </c>
      <c r="J1703" s="20" t="s">
        <v>2001</v>
      </c>
      <c r="K1703" s="20" t="str">
        <f>VLOOKUP(H1703,[1]媒体表!C:T,18,0)</f>
        <v>北京多彩</v>
      </c>
      <c r="L1703" s="20" t="s">
        <v>2168</v>
      </c>
      <c r="M1703" s="47"/>
      <c r="N1703" s="20" t="s">
        <v>42</v>
      </c>
      <c r="O1703" s="20" t="s">
        <v>43</v>
      </c>
      <c r="P1703" s="47">
        <v>0.02</v>
      </c>
      <c r="Q1703" s="48" t="s">
        <v>2169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</v>
      </c>
      <c r="W1703" s="32">
        <f t="shared" si="193"/>
        <v>21964.4117647059</v>
      </c>
      <c r="X1703" s="32"/>
      <c r="Y1703" s="32">
        <f t="shared" si="194"/>
        <v>21964.4117647059</v>
      </c>
      <c r="Z1703" s="32">
        <f t="shared" si="191"/>
        <v>439.28823529412</v>
      </c>
      <c r="AA1703" s="34">
        <v>13738.1128672568</v>
      </c>
      <c r="AB1703" s="24">
        <v>0.065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ht="14.25" spans="1:34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1710</v>
      </c>
      <c r="F1704" s="20" t="s">
        <v>1710</v>
      </c>
      <c r="G1704" s="20" t="s">
        <v>1710</v>
      </c>
      <c r="H1704" s="20" t="s">
        <v>1999</v>
      </c>
      <c r="I1704" s="20" t="s">
        <v>2000</v>
      </c>
      <c r="J1704" s="20" t="s">
        <v>2001</v>
      </c>
      <c r="K1704" s="20" t="str">
        <f>VLOOKUP(H1704,[1]媒体表!C:T,18,0)</f>
        <v>北京多彩</v>
      </c>
      <c r="L1704" s="20" t="s">
        <v>1711</v>
      </c>
      <c r="M1704" s="47"/>
      <c r="N1704" s="20" t="s">
        <v>42</v>
      </c>
      <c r="O1704" s="20" t="s">
        <v>43</v>
      </c>
      <c r="P1704" s="47">
        <v>0.02</v>
      </c>
      <c r="Q1704" s="48" t="s">
        <v>2170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0.065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ht="14.25" spans="1:34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2171</v>
      </c>
      <c r="F1705" s="20" t="s">
        <v>2171</v>
      </c>
      <c r="G1705" s="20" t="s">
        <v>2171</v>
      </c>
      <c r="H1705" s="20" t="s">
        <v>1999</v>
      </c>
      <c r="I1705" s="20" t="s">
        <v>2000</v>
      </c>
      <c r="J1705" s="20" t="s">
        <v>2001</v>
      </c>
      <c r="K1705" s="20" t="str">
        <f>VLOOKUP(H1705,[1]媒体表!C:T,18,0)</f>
        <v>北京多彩</v>
      </c>
      <c r="L1705" s="20" t="s">
        <v>2171</v>
      </c>
      <c r="M1705" s="47"/>
      <c r="N1705" s="20" t="s">
        <v>42</v>
      </c>
      <c r="O1705" s="20" t="s">
        <v>43</v>
      </c>
      <c r="P1705" s="47">
        <v>0.02</v>
      </c>
      <c r="Q1705" s="48" t="s">
        <v>2172</v>
      </c>
      <c r="R1705" s="40"/>
      <c r="S1705" s="34">
        <v>-86.8000000000029</v>
      </c>
      <c r="T1705" s="34"/>
      <c r="U1705" s="32">
        <v>0</v>
      </c>
      <c r="V1705" s="32">
        <f t="shared" si="189"/>
        <v>-86.8000000000029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0.065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ht="14.25" spans="1:34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1999</v>
      </c>
      <c r="I1706" s="20" t="s">
        <v>2000</v>
      </c>
      <c r="J1706" s="20" t="s">
        <v>2001</v>
      </c>
      <c r="K1706" s="20" t="str">
        <f>VLOOKUP(H1706,[1]媒体表!C:T,18,0)</f>
        <v>北京多彩</v>
      </c>
      <c r="L1706" s="20" t="s">
        <v>2173</v>
      </c>
      <c r="M1706" s="47"/>
      <c r="N1706" s="20" t="s">
        <v>42</v>
      </c>
      <c r="O1706" s="20" t="s">
        <v>43</v>
      </c>
      <c r="P1706" s="47">
        <v>0.02</v>
      </c>
      <c r="Q1706" s="48" t="s">
        <v>2174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</v>
      </c>
      <c r="X1706" s="32"/>
      <c r="Y1706" s="32">
        <f t="shared" si="194"/>
        <v>2750.49019607843</v>
      </c>
      <c r="Z1706" s="32">
        <f t="shared" si="191"/>
        <v>55.0098039215686</v>
      </c>
      <c r="AA1706" s="34">
        <v>0</v>
      </c>
      <c r="AB1706" s="24">
        <v>0.065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ht="14.25" spans="1:34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1999</v>
      </c>
      <c r="I1707" s="20" t="s">
        <v>2000</v>
      </c>
      <c r="J1707" s="20" t="s">
        <v>2001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2175</v>
      </c>
      <c r="R1707" s="40"/>
      <c r="S1707" s="34">
        <v>145736.55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</v>
      </c>
      <c r="AB1707" s="24">
        <v>0.065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ht="14.25" spans="1:34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1999</v>
      </c>
      <c r="I1708" s="20" t="s">
        <v>2000</v>
      </c>
      <c r="J1708" s="20" t="s">
        <v>2001</v>
      </c>
      <c r="K1708" s="20" t="str">
        <f>VLOOKUP(H1708,[1]媒体表!C:T,18,0)</f>
        <v>北京多彩</v>
      </c>
      <c r="L1708" s="20" t="s">
        <v>2173</v>
      </c>
      <c r="M1708" s="47"/>
      <c r="N1708" s="20" t="s">
        <v>42</v>
      </c>
      <c r="O1708" s="20" t="s">
        <v>43</v>
      </c>
      <c r="P1708" s="47">
        <v>0.02</v>
      </c>
      <c r="Q1708" s="48" t="s">
        <v>2174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21934.6078431373</v>
      </c>
      <c r="X1708" s="32"/>
      <c r="Y1708" s="32">
        <f t="shared" si="194"/>
        <v>21934.6078431373</v>
      </c>
      <c r="Z1708" s="32">
        <f t="shared" si="191"/>
        <v>438.692156862744</v>
      </c>
      <c r="AA1708" s="34">
        <v>15439.824504974</v>
      </c>
      <c r="AB1708" s="24">
        <v>0.065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ht="14.25" spans="1:34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1999</v>
      </c>
      <c r="I1709" s="20" t="s">
        <v>2000</v>
      </c>
      <c r="J1709" s="20" t="s">
        <v>2001</v>
      </c>
      <c r="K1709" s="20" t="str">
        <f>VLOOKUP(H1709,[1]媒体表!C:T,18,0)</f>
        <v>北京多彩</v>
      </c>
      <c r="L1709" s="20" t="s">
        <v>2176</v>
      </c>
      <c r="M1709" s="47"/>
      <c r="N1709" s="20" t="s">
        <v>42</v>
      </c>
      <c r="O1709" s="20" t="s">
        <v>43</v>
      </c>
      <c r="P1709" s="47">
        <v>0.02</v>
      </c>
      <c r="Q1709" s="48" t="s">
        <v>2177</v>
      </c>
      <c r="R1709" s="40"/>
      <c r="S1709" s="34">
        <v>30958.4</v>
      </c>
      <c r="T1709" s="34">
        <v>205780.83</v>
      </c>
      <c r="U1709" s="32">
        <v>166529.8</v>
      </c>
      <c r="V1709" s="32">
        <f t="shared" si="189"/>
        <v>70209.43</v>
      </c>
      <c r="W1709" s="32">
        <f t="shared" si="193"/>
        <v>163264.509803922</v>
      </c>
      <c r="X1709" s="32"/>
      <c r="Y1709" s="32">
        <f t="shared" si="194"/>
        <v>163264.509803922</v>
      </c>
      <c r="Z1709" s="32">
        <f t="shared" si="191"/>
        <v>3265.29019607842</v>
      </c>
      <c r="AA1709" s="34">
        <v>102117.292597281</v>
      </c>
      <c r="AB1709" s="24">
        <v>0.065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ht="14.25" spans="1:34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1999</v>
      </c>
      <c r="I1710" s="20" t="s">
        <v>2000</v>
      </c>
      <c r="J1710" s="20" t="s">
        <v>2001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2178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464.700000000001</v>
      </c>
      <c r="W1710" s="32">
        <f t="shared" si="193"/>
        <v>28565.3921568627</v>
      </c>
      <c r="X1710" s="32"/>
      <c r="Y1710" s="32">
        <f t="shared" si="194"/>
        <v>28565.3921568627</v>
      </c>
      <c r="Z1710" s="32">
        <f t="shared" si="191"/>
        <v>571.307843137256</v>
      </c>
      <c r="AA1710" s="34">
        <v>17866.8377624857</v>
      </c>
      <c r="AB1710" s="24">
        <v>0.065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ht="14.25" spans="1:34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2025</v>
      </c>
      <c r="F1711" s="20" t="s">
        <v>2025</v>
      </c>
      <c r="G1711" s="20" t="s">
        <v>2025</v>
      </c>
      <c r="H1711" s="20" t="s">
        <v>1999</v>
      </c>
      <c r="I1711" s="20" t="s">
        <v>2000</v>
      </c>
      <c r="J1711" s="20" t="s">
        <v>2001</v>
      </c>
      <c r="K1711" s="20" t="str">
        <f>VLOOKUP(H1711,[1]媒体表!C:T,18,0)</f>
        <v>北京多彩</v>
      </c>
      <c r="L1711" s="20" t="s">
        <v>2025</v>
      </c>
      <c r="M1711" s="47"/>
      <c r="N1711" s="20" t="s">
        <v>42</v>
      </c>
      <c r="O1711" s="20" t="s">
        <v>43</v>
      </c>
      <c r="P1711" s="47">
        <v>0.02</v>
      </c>
      <c r="Q1711" s="48" t="s">
        <v>2179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</v>
      </c>
      <c r="X1711" s="32"/>
      <c r="Y1711" s="32">
        <f t="shared" si="194"/>
        <v>40.6862745098039</v>
      </c>
      <c r="Z1711" s="32">
        <f t="shared" si="191"/>
        <v>0.813725490196077</v>
      </c>
      <c r="AA1711" s="34">
        <v>25.4481038395961</v>
      </c>
      <c r="AB1711" s="24">
        <v>0.065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ht="14.25" spans="1:34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2180</v>
      </c>
      <c r="F1712" s="20" t="s">
        <v>2180</v>
      </c>
      <c r="G1712" s="20" t="s">
        <v>2180</v>
      </c>
      <c r="H1712" s="20" t="s">
        <v>1999</v>
      </c>
      <c r="I1712" s="20" t="s">
        <v>2000</v>
      </c>
      <c r="J1712" s="20" t="s">
        <v>2001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2181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0.065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ht="14.25" spans="1:34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1999</v>
      </c>
      <c r="I1713" s="20" t="s">
        <v>2000</v>
      </c>
      <c r="J1713" s="20" t="s">
        <v>2001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2182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ht="14.25" spans="1:34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2183</v>
      </c>
      <c r="F1714" s="20" t="s">
        <v>2183</v>
      </c>
      <c r="G1714" s="20" t="s">
        <v>2183</v>
      </c>
      <c r="H1714" s="20" t="s">
        <v>1999</v>
      </c>
      <c r="I1714" s="20" t="s">
        <v>2000</v>
      </c>
      <c r="J1714" s="20" t="s">
        <v>2001</v>
      </c>
      <c r="K1714" s="20" t="str">
        <f>VLOOKUP(H1714,[1]媒体表!C:T,18,0)</f>
        <v>北京多彩</v>
      </c>
      <c r="L1714" s="20" t="s">
        <v>2183</v>
      </c>
      <c r="M1714" s="47"/>
      <c r="N1714" s="20" t="s">
        <v>42</v>
      </c>
      <c r="O1714" s="20" t="s">
        <v>43</v>
      </c>
      <c r="P1714" s="47">
        <v>0.01</v>
      </c>
      <c r="Q1714" s="48" t="s">
        <v>2184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</v>
      </c>
      <c r="X1714" s="32"/>
      <c r="Y1714" s="32">
        <f t="shared" si="194"/>
        <v>26030.6237623762</v>
      </c>
      <c r="Z1714" s="32">
        <f t="shared" si="191"/>
        <v>260.306237623761</v>
      </c>
      <c r="AA1714" s="34">
        <v>21961.2843684464</v>
      </c>
      <c r="AB1714" s="24">
        <v>0.065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ht="14.25" spans="1:34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2183</v>
      </c>
      <c r="F1715" s="20" t="s">
        <v>2183</v>
      </c>
      <c r="G1715" s="20" t="s">
        <v>2183</v>
      </c>
      <c r="H1715" s="20" t="s">
        <v>1999</v>
      </c>
      <c r="I1715" s="20" t="s">
        <v>2000</v>
      </c>
      <c r="J1715" s="20" t="s">
        <v>2001</v>
      </c>
      <c r="K1715" s="20" t="str">
        <f>VLOOKUP(H1715,[1]媒体表!C:T,18,0)</f>
        <v>北京多彩</v>
      </c>
      <c r="L1715" s="20" t="s">
        <v>2183</v>
      </c>
      <c r="M1715" s="47"/>
      <c r="N1715" s="20" t="s">
        <v>42</v>
      </c>
      <c r="O1715" s="20" t="s">
        <v>43</v>
      </c>
      <c r="P1715" s="47">
        <v>0.02</v>
      </c>
      <c r="Q1715" s="48" t="s">
        <v>2184</v>
      </c>
      <c r="R1715" s="40"/>
      <c r="S1715" s="34">
        <v>9522.87</v>
      </c>
      <c r="T1715" s="34"/>
      <c r="U1715" s="50">
        <v>9522.87</v>
      </c>
      <c r="V1715" s="32">
        <f t="shared" si="189"/>
        <v>0</v>
      </c>
      <c r="W1715" s="32">
        <f t="shared" si="193"/>
        <v>9336.14705882353</v>
      </c>
      <c r="X1715" s="32"/>
      <c r="Y1715" s="32">
        <f t="shared" si="194"/>
        <v>9336.14705882353</v>
      </c>
      <c r="Z1715" s="32">
        <f t="shared" si="191"/>
        <v>186.722941176471</v>
      </c>
      <c r="AA1715" s="34">
        <v>0</v>
      </c>
      <c r="AB1715" s="24">
        <v>0.065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ht="14.25" spans="1:34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2185</v>
      </c>
      <c r="F1716" s="20" t="s">
        <v>2185</v>
      </c>
      <c r="G1716" s="20" t="s">
        <v>2185</v>
      </c>
      <c r="H1716" s="20" t="s">
        <v>1999</v>
      </c>
      <c r="I1716" s="20" t="s">
        <v>2000</v>
      </c>
      <c r="J1716" s="20" t="s">
        <v>2001</v>
      </c>
      <c r="K1716" s="20" t="str">
        <f>VLOOKUP(H1716,[1]媒体表!C:T,18,0)</f>
        <v>北京多彩</v>
      </c>
      <c r="L1716" s="20" t="s">
        <v>2185</v>
      </c>
      <c r="M1716" s="47"/>
      <c r="N1716" s="20" t="s">
        <v>59</v>
      </c>
      <c r="O1716" s="20" t="s">
        <v>43</v>
      </c>
      <c r="P1716" s="47">
        <v>0.1</v>
      </c>
      <c r="Q1716" s="48" t="s">
        <v>2186</v>
      </c>
      <c r="R1716" s="40"/>
      <c r="S1716" s="34">
        <v>0.0500000000010346</v>
      </c>
      <c r="T1716" s="34"/>
      <c r="U1716" s="32">
        <v>0</v>
      </c>
      <c r="V1716" s="32">
        <f t="shared" si="189"/>
        <v>0.0500000000010346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ht="14.25" spans="1:34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2187</v>
      </c>
      <c r="F1717" s="20" t="s">
        <v>2187</v>
      </c>
      <c r="G1717" s="20" t="s">
        <v>2187</v>
      </c>
      <c r="H1717" s="20" t="s">
        <v>1999</v>
      </c>
      <c r="I1717" s="20" t="s">
        <v>2000</v>
      </c>
      <c r="J1717" s="20" t="s">
        <v>2001</v>
      </c>
      <c r="K1717" s="20" t="str">
        <f>VLOOKUP(H1717,[1]媒体表!C:T,18,0)</f>
        <v>北京多彩</v>
      </c>
      <c r="L1717" s="20" t="s">
        <v>2187</v>
      </c>
      <c r="M1717" s="47"/>
      <c r="N1717" s="20" t="s">
        <v>42</v>
      </c>
      <c r="O1717" s="20" t="s">
        <v>43</v>
      </c>
      <c r="P1717" s="47">
        <v>0.02</v>
      </c>
      <c r="Q1717" s="48" t="s">
        <v>2188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</v>
      </c>
      <c r="W1717" s="32">
        <f t="shared" si="193"/>
        <v>52288.431372549</v>
      </c>
      <c r="X1717" s="32"/>
      <c r="Y1717" s="32">
        <f t="shared" si="194"/>
        <v>52288.431372549</v>
      </c>
      <c r="Z1717" s="32">
        <f t="shared" si="191"/>
        <v>1045.76862745098</v>
      </c>
      <c r="AA1717" s="34">
        <v>32704.9219229346</v>
      </c>
      <c r="AB1717" s="24">
        <v>0.065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ht="14.25" spans="1:34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2189</v>
      </c>
      <c r="F1718" s="20" t="s">
        <v>2189</v>
      </c>
      <c r="G1718" s="20" t="s">
        <v>2189</v>
      </c>
      <c r="H1718" s="20" t="s">
        <v>1999</v>
      </c>
      <c r="I1718" s="20" t="s">
        <v>2000</v>
      </c>
      <c r="J1718" s="20" t="s">
        <v>2001</v>
      </c>
      <c r="K1718" s="20" t="str">
        <f>VLOOKUP(H1718,[1]媒体表!C:T,18,0)</f>
        <v>北京多彩</v>
      </c>
      <c r="L1718" s="20" t="s">
        <v>2190</v>
      </c>
      <c r="M1718" s="47"/>
      <c r="N1718" s="20" t="s">
        <v>42</v>
      </c>
      <c r="O1718" s="20" t="s">
        <v>82</v>
      </c>
      <c r="P1718" s="47">
        <v>0</v>
      </c>
      <c r="Q1718" s="48" t="s">
        <v>2191</v>
      </c>
      <c r="R1718" s="40"/>
      <c r="S1718" s="34">
        <v>3475.4</v>
      </c>
      <c r="T1718" s="34">
        <v>40130.45</v>
      </c>
      <c r="U1718" s="32">
        <v>35865.2</v>
      </c>
      <c r="V1718" s="32">
        <f t="shared" si="189"/>
        <v>7740.65</v>
      </c>
      <c r="W1718" s="32">
        <f t="shared" si="193"/>
        <v>35865.2</v>
      </c>
      <c r="X1718" s="32"/>
      <c r="Y1718" s="32">
        <f t="shared" si="194"/>
        <v>35865.2</v>
      </c>
      <c r="Z1718" s="32">
        <f t="shared" si="191"/>
        <v>0</v>
      </c>
      <c r="AA1718" s="34">
        <v>21992.8032247682</v>
      </c>
      <c r="AB1718" s="24">
        <v>0.065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ht="14.25" spans="1:34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2192</v>
      </c>
      <c r="F1719" s="20" t="s">
        <v>2193</v>
      </c>
      <c r="G1719" s="20" t="s">
        <v>2193</v>
      </c>
      <c r="H1719" s="20" t="s">
        <v>1999</v>
      </c>
      <c r="I1719" s="20" t="s">
        <v>2000</v>
      </c>
      <c r="J1719" s="20" t="s">
        <v>2001</v>
      </c>
      <c r="K1719" s="20" t="str">
        <f>VLOOKUP(H1719,[1]媒体表!C:T,18,0)</f>
        <v>北京多彩</v>
      </c>
      <c r="L1719" s="20" t="s">
        <v>2194</v>
      </c>
      <c r="M1719" s="47"/>
      <c r="N1719" s="20" t="s">
        <v>59</v>
      </c>
      <c r="O1719" s="20" t="s">
        <v>82</v>
      </c>
      <c r="P1719" s="47">
        <v>0</v>
      </c>
      <c r="Q1719" s="48" t="s">
        <v>2195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ht="14.25" spans="1:34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2196</v>
      </c>
      <c r="F1720" s="20" t="s">
        <v>2196</v>
      </c>
      <c r="G1720" s="20" t="s">
        <v>2196</v>
      </c>
      <c r="H1720" s="20" t="s">
        <v>1999</v>
      </c>
      <c r="I1720" s="20" t="s">
        <v>2000</v>
      </c>
      <c r="J1720" s="20" t="s">
        <v>2001</v>
      </c>
      <c r="K1720" s="20" t="str">
        <f>VLOOKUP(H1720,[1]媒体表!C:T,18,0)</f>
        <v>北京多彩</v>
      </c>
      <c r="L1720" s="20" t="s">
        <v>2197</v>
      </c>
      <c r="M1720" s="47"/>
      <c r="N1720" s="20" t="s">
        <v>42</v>
      </c>
      <c r="O1720" s="20" t="s">
        <v>82</v>
      </c>
      <c r="P1720" s="47">
        <v>0</v>
      </c>
      <c r="Q1720" s="48" t="s">
        <v>2198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0.065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ht="14.25" spans="1:34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2199</v>
      </c>
      <c r="F1721" s="20" t="s">
        <v>2199</v>
      </c>
      <c r="G1721" s="20" t="s">
        <v>2199</v>
      </c>
      <c r="H1721" s="20" t="s">
        <v>1999</v>
      </c>
      <c r="I1721" s="20" t="s">
        <v>2000</v>
      </c>
      <c r="J1721" s="20" t="s">
        <v>2001</v>
      </c>
      <c r="K1721" s="20" t="str">
        <f>VLOOKUP(H1721,[1]媒体表!C:T,18,0)</f>
        <v>北京多彩</v>
      </c>
      <c r="L1721" s="20" t="s">
        <v>2200</v>
      </c>
      <c r="M1721" s="47"/>
      <c r="N1721" s="20" t="s">
        <v>42</v>
      </c>
      <c r="O1721" s="20" t="s">
        <v>82</v>
      </c>
      <c r="P1721" s="47">
        <v>0</v>
      </c>
      <c r="Q1721" s="48" t="s">
        <v>2201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0.065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ht="14.25" spans="1:34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2202</v>
      </c>
      <c r="F1722" s="20" t="s">
        <v>2202</v>
      </c>
      <c r="G1722" s="20" t="s">
        <v>2202</v>
      </c>
      <c r="H1722" s="20" t="s">
        <v>1999</v>
      </c>
      <c r="I1722" s="20" t="s">
        <v>2000</v>
      </c>
      <c r="J1722" s="20" t="s">
        <v>2001</v>
      </c>
      <c r="K1722" s="20" t="str">
        <f>VLOOKUP(H1722,[1]媒体表!C:T,18,0)</f>
        <v>北京多彩</v>
      </c>
      <c r="L1722" s="20" t="s">
        <v>2203</v>
      </c>
      <c r="M1722" s="47"/>
      <c r="N1722" s="20" t="s">
        <v>59</v>
      </c>
      <c r="O1722" s="20" t="s">
        <v>43</v>
      </c>
      <c r="P1722" s="47">
        <v>0.12</v>
      </c>
      <c r="Q1722" s="48" t="s">
        <v>2204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ht="14.25" spans="1:34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2205</v>
      </c>
      <c r="F1723" s="20" t="s">
        <v>2205</v>
      </c>
      <c r="G1723" s="20" t="s">
        <v>2205</v>
      </c>
      <c r="H1723" s="20" t="s">
        <v>1999</v>
      </c>
      <c r="I1723" s="20" t="s">
        <v>2000</v>
      </c>
      <c r="J1723" s="20" t="s">
        <v>2001</v>
      </c>
      <c r="K1723" s="20" t="str">
        <f>VLOOKUP(H1723,[1]媒体表!C:T,18,0)</f>
        <v>北京多彩</v>
      </c>
      <c r="L1723" s="20" t="s">
        <v>2205</v>
      </c>
      <c r="M1723" s="47"/>
      <c r="N1723" s="20" t="s">
        <v>42</v>
      </c>
      <c r="O1723" s="20" t="s">
        <v>82</v>
      </c>
      <c r="P1723" s="47">
        <v>0</v>
      </c>
      <c r="Q1723" s="48" t="s">
        <v>2206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31550.4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0.065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ht="14.25" spans="1:34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2207</v>
      </c>
      <c r="F1724" s="20" t="s">
        <v>2207</v>
      </c>
      <c r="G1724" s="20" t="s">
        <v>2207</v>
      </c>
      <c r="H1724" s="20" t="s">
        <v>1999</v>
      </c>
      <c r="I1724" s="20" t="s">
        <v>2000</v>
      </c>
      <c r="J1724" s="20" t="s">
        <v>2001</v>
      </c>
      <c r="K1724" s="20" t="str">
        <f>VLOOKUP(H1724,[1]媒体表!C:T,18,0)</f>
        <v>北京多彩</v>
      </c>
      <c r="L1724" s="20" t="s">
        <v>2207</v>
      </c>
      <c r="M1724" s="47"/>
      <c r="N1724" s="20" t="s">
        <v>59</v>
      </c>
      <c r="O1724" s="20" t="s">
        <v>43</v>
      </c>
      <c r="P1724" s="47">
        <v>0.08</v>
      </c>
      <c r="Q1724" s="48" t="s">
        <v>2208</v>
      </c>
      <c r="R1724" s="40"/>
      <c r="S1724" s="34">
        <v>0.070000000001528</v>
      </c>
      <c r="T1724" s="34"/>
      <c r="U1724" s="32">
        <v>0</v>
      </c>
      <c r="V1724" s="32">
        <f t="shared" si="195"/>
        <v>0.070000000001528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ht="14.25" spans="1:34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2209</v>
      </c>
      <c r="F1725" s="20" t="s">
        <v>2210</v>
      </c>
      <c r="G1725" s="20" t="s">
        <v>2209</v>
      </c>
      <c r="H1725" s="20" t="s">
        <v>1999</v>
      </c>
      <c r="I1725" s="20" t="s">
        <v>2000</v>
      </c>
      <c r="J1725" s="20" t="s">
        <v>2001</v>
      </c>
      <c r="K1725" s="20" t="str">
        <f>VLOOKUP(H1725,[1]媒体表!C:T,18,0)</f>
        <v>北京多彩</v>
      </c>
      <c r="L1725" s="20" t="s">
        <v>2209</v>
      </c>
      <c r="M1725" s="47"/>
      <c r="N1725" s="20" t="s">
        <v>59</v>
      </c>
      <c r="O1725" s="20" t="s">
        <v>43</v>
      </c>
      <c r="P1725" s="47">
        <v>0.1</v>
      </c>
      <c r="Q1725" s="48" t="s">
        <v>2211</v>
      </c>
      <c r="R1725" s="40"/>
      <c r="S1725" s="34">
        <v>-0.0199999999022111</v>
      </c>
      <c r="T1725" s="34"/>
      <c r="U1725" s="32">
        <v>0</v>
      </c>
      <c r="V1725" s="32">
        <f t="shared" si="195"/>
        <v>-0.0199999999022111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ht="14.25" spans="1:34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2212</v>
      </c>
      <c r="F1726" s="20" t="s">
        <v>2212</v>
      </c>
      <c r="G1726" s="20" t="s">
        <v>2212</v>
      </c>
      <c r="H1726" s="20" t="s">
        <v>1999</v>
      </c>
      <c r="I1726" s="20" t="s">
        <v>2000</v>
      </c>
      <c r="J1726" s="20" t="s">
        <v>2001</v>
      </c>
      <c r="K1726" s="20" t="str">
        <f>VLOOKUP(H1726,[1]媒体表!C:T,18,0)</f>
        <v>北京多彩</v>
      </c>
      <c r="L1726" s="20" t="s">
        <v>2212</v>
      </c>
      <c r="M1726" s="20"/>
      <c r="N1726" s="20" t="s">
        <v>59</v>
      </c>
      <c r="O1726" s="20" t="s">
        <v>43</v>
      </c>
      <c r="P1726" s="47">
        <v>0.08</v>
      </c>
      <c r="Q1726" s="48" t="s">
        <v>2213</v>
      </c>
      <c r="R1726" s="30"/>
      <c r="S1726" s="34">
        <v>0.400000000001455</v>
      </c>
      <c r="T1726" s="34"/>
      <c r="U1726" s="32">
        <v>0</v>
      </c>
      <c r="V1726" s="32">
        <f t="shared" si="195"/>
        <v>0.400000000001455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ht="14.25" spans="1:34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2214</v>
      </c>
      <c r="F1727" s="20" t="s">
        <v>2214</v>
      </c>
      <c r="G1727" s="20" t="s">
        <v>2214</v>
      </c>
      <c r="H1727" s="20" t="s">
        <v>1999</v>
      </c>
      <c r="I1727" s="20" t="s">
        <v>2000</v>
      </c>
      <c r="J1727" s="20" t="s">
        <v>2001</v>
      </c>
      <c r="K1727" s="20" t="str">
        <f>VLOOKUP(H1727,[1]媒体表!C:T,18,0)</f>
        <v>北京多彩</v>
      </c>
      <c r="L1727" s="20" t="s">
        <v>2215</v>
      </c>
      <c r="M1727" s="20"/>
      <c r="N1727" s="20" t="s">
        <v>59</v>
      </c>
      <c r="O1727" s="20" t="s">
        <v>82</v>
      </c>
      <c r="P1727" s="47">
        <v>0</v>
      </c>
      <c r="Q1727" s="48" t="s">
        <v>2216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</v>
      </c>
      <c r="X1727" s="32"/>
      <c r="Y1727" s="32">
        <f t="shared" si="194"/>
        <v>50175.27</v>
      </c>
      <c r="Z1727" s="32">
        <f t="shared" si="191"/>
        <v>-49519.72</v>
      </c>
      <c r="AA1727" s="34">
        <v>49921.7080595674</v>
      </c>
      <c r="AB1727" s="24">
        <v>0.12</v>
      </c>
      <c r="AC1727" s="36"/>
      <c r="AD1727" s="36"/>
      <c r="AE1727" s="34" t="s">
        <v>2217</v>
      </c>
      <c r="AF1727" s="34" t="s">
        <v>53</v>
      </c>
      <c r="AG1727" s="24">
        <v>0</v>
      </c>
      <c r="AH1727" s="38" t="e">
        <v>#N/A</v>
      </c>
    </row>
    <row r="1728" ht="14.25" spans="1:34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2214</v>
      </c>
      <c r="F1728" s="20" t="s">
        <v>2214</v>
      </c>
      <c r="G1728" s="20" t="s">
        <v>2214</v>
      </c>
      <c r="H1728" s="20" t="s">
        <v>1999</v>
      </c>
      <c r="I1728" s="20" t="s">
        <v>2000</v>
      </c>
      <c r="J1728" s="20" t="s">
        <v>2001</v>
      </c>
      <c r="K1728" s="20" t="str">
        <f>VLOOKUP(H1728,[1]媒体表!C:T,18,0)</f>
        <v>北京多彩</v>
      </c>
      <c r="L1728" s="20" t="s">
        <v>2215</v>
      </c>
      <c r="M1728" s="20"/>
      <c r="N1728" s="20" t="s">
        <v>59</v>
      </c>
      <c r="O1728" s="20" t="s">
        <v>82</v>
      </c>
      <c r="P1728" s="47">
        <v>0</v>
      </c>
      <c r="Q1728" s="48" t="s">
        <v>2218</v>
      </c>
      <c r="R1728" s="30"/>
      <c r="S1728" s="34">
        <v>0.00999999999817192</v>
      </c>
      <c r="T1728" s="34"/>
      <c r="U1728" s="32">
        <v>0</v>
      </c>
      <c r="V1728" s="32">
        <f t="shared" ref="V1728:V1772" si="196">S1728+T1728-U1728</f>
        <v>0.00999999999817192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2219</v>
      </c>
      <c r="AF1728" s="34" t="s">
        <v>53</v>
      </c>
      <c r="AG1728" s="24">
        <v>0</v>
      </c>
      <c r="AH1728" s="38" t="e">
        <v>#N/A</v>
      </c>
    </row>
    <row r="1729" ht="14.25" spans="1:34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2220</v>
      </c>
      <c r="F1729" s="20" t="s">
        <v>2220</v>
      </c>
      <c r="G1729" s="20" t="s">
        <v>2220</v>
      </c>
      <c r="H1729" s="20" t="s">
        <v>1999</v>
      </c>
      <c r="I1729" s="20" t="s">
        <v>2000</v>
      </c>
      <c r="J1729" s="20" t="s">
        <v>2001</v>
      </c>
      <c r="K1729" s="20" t="str">
        <f>VLOOKUP(H1729,[1]媒体表!C:T,18,0)</f>
        <v>北京多彩</v>
      </c>
      <c r="L1729" s="20" t="s">
        <v>2220</v>
      </c>
      <c r="M1729" s="20"/>
      <c r="N1729" s="20" t="s">
        <v>59</v>
      </c>
      <c r="O1729" s="20" t="s">
        <v>43</v>
      </c>
      <c r="P1729" s="47">
        <v>0.08</v>
      </c>
      <c r="Q1729" s="48" t="s">
        <v>2221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174370.027777778</v>
      </c>
      <c r="X1729" s="32"/>
      <c r="Y1729" s="32">
        <f t="shared" si="194"/>
        <v>174370.027777778</v>
      </c>
      <c r="Z1729" s="32">
        <f t="shared" si="191"/>
        <v>13949.6022222222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ht="14.25" spans="1:34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2220</v>
      </c>
      <c r="F1730" s="20" t="s">
        <v>2220</v>
      </c>
      <c r="G1730" s="20" t="s">
        <v>2220</v>
      </c>
      <c r="H1730" s="20" t="s">
        <v>1999</v>
      </c>
      <c r="I1730" s="20" t="s">
        <v>2000</v>
      </c>
      <c r="J1730" s="20" t="s">
        <v>2001</v>
      </c>
      <c r="K1730" s="20" t="str">
        <f>VLOOKUP(H1730,[1]媒体表!C:T,18,0)</f>
        <v>北京多彩</v>
      </c>
      <c r="L1730" s="20" t="s">
        <v>2220</v>
      </c>
      <c r="M1730" s="20"/>
      <c r="N1730" s="20" t="s">
        <v>59</v>
      </c>
      <c r="O1730" s="20" t="s">
        <v>43</v>
      </c>
      <c r="P1730" s="47">
        <v>0.08</v>
      </c>
      <c r="Q1730" s="48" t="s">
        <v>2222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ht="14.25" spans="1:34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2220</v>
      </c>
      <c r="F1731" s="20" t="s">
        <v>2220</v>
      </c>
      <c r="G1731" s="20" t="s">
        <v>2220</v>
      </c>
      <c r="H1731" s="20" t="s">
        <v>1999</v>
      </c>
      <c r="I1731" s="20" t="s">
        <v>2000</v>
      </c>
      <c r="J1731" s="20" t="s">
        <v>2001</v>
      </c>
      <c r="K1731" s="20" t="str">
        <f>VLOOKUP(H1731,[1]媒体表!C:T,18,0)</f>
        <v>北京多彩</v>
      </c>
      <c r="L1731" s="20" t="s">
        <v>2220</v>
      </c>
      <c r="M1731" s="20"/>
      <c r="N1731" s="20" t="s">
        <v>59</v>
      </c>
      <c r="O1731" s="20" t="s">
        <v>43</v>
      </c>
      <c r="P1731" s="47">
        <v>0.08</v>
      </c>
      <c r="Q1731" s="48" t="s">
        <v>2223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0.0100000000002183</v>
      </c>
      <c r="W1731" s="32">
        <f t="shared" si="197"/>
        <v>5227.61111111111</v>
      </c>
      <c r="X1731" s="32"/>
      <c r="Y1731" s="32">
        <f t="shared" si="194"/>
        <v>5227.61111111111</v>
      </c>
      <c r="Z1731" s="32">
        <f t="shared" si="191"/>
        <v>418.208888888889</v>
      </c>
      <c r="AA1731" s="34">
        <v>3462.05815951008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ht="14.25" spans="1:34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2224</v>
      </c>
      <c r="F1732" s="20" t="s">
        <v>2224</v>
      </c>
      <c r="G1732" s="20" t="s">
        <v>2224</v>
      </c>
      <c r="H1732" s="20" t="s">
        <v>1999</v>
      </c>
      <c r="I1732" s="20" t="s">
        <v>2000</v>
      </c>
      <c r="J1732" s="20" t="s">
        <v>2001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2225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0.065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ht="14.25" spans="1:34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2226</v>
      </c>
      <c r="F1733" s="20" t="s">
        <v>2226</v>
      </c>
      <c r="G1733" s="20" t="s">
        <v>2226</v>
      </c>
      <c r="H1733" s="20" t="s">
        <v>1999</v>
      </c>
      <c r="I1733" s="20" t="s">
        <v>2000</v>
      </c>
      <c r="J1733" s="20" t="s">
        <v>2001</v>
      </c>
      <c r="K1733" s="20" t="str">
        <f>VLOOKUP(H1733,[1]媒体表!C:T,18,0)</f>
        <v>北京多彩</v>
      </c>
      <c r="L1733" s="20" t="s">
        <v>2227</v>
      </c>
      <c r="M1733" s="20"/>
      <c r="N1733" s="20" t="s">
        <v>59</v>
      </c>
      <c r="O1733" s="20" t="s">
        <v>43</v>
      </c>
      <c r="P1733" s="47">
        <v>0.02</v>
      </c>
      <c r="Q1733" s="48" t="s">
        <v>2228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44630.9411764706</v>
      </c>
      <c r="X1733" s="32"/>
      <c r="Y1733" s="32">
        <f t="shared" si="194"/>
        <v>44630.9411764706</v>
      </c>
      <c r="Z1733" s="32">
        <f t="shared" si="191"/>
        <v>892.61882352941</v>
      </c>
      <c r="AA1733" s="34">
        <v>27915.3802898333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ht="14.25" spans="1:34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2226</v>
      </c>
      <c r="F1734" s="20" t="s">
        <v>2226</v>
      </c>
      <c r="G1734" s="20" t="s">
        <v>2226</v>
      </c>
      <c r="H1734" s="20" t="s">
        <v>1999</v>
      </c>
      <c r="I1734" s="20" t="s">
        <v>2000</v>
      </c>
      <c r="J1734" s="20" t="s">
        <v>2001</v>
      </c>
      <c r="K1734" s="20" t="str">
        <f>VLOOKUP(H1734,[1]媒体表!C:T,18,0)</f>
        <v>北京多彩</v>
      </c>
      <c r="L1734" s="20" t="s">
        <v>2227</v>
      </c>
      <c r="M1734" s="20"/>
      <c r="N1734" s="20" t="s">
        <v>42</v>
      </c>
      <c r="O1734" s="20" t="s">
        <v>43</v>
      </c>
      <c r="P1734" s="47">
        <v>0.02</v>
      </c>
      <c r="Q1734" s="48" t="s">
        <v>2228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1472757.35294118</v>
      </c>
      <c r="X1734" s="32"/>
      <c r="Y1734" s="32">
        <f t="shared" si="194"/>
        <v>1472757.35294118</v>
      </c>
      <c r="Z1734" s="32">
        <f t="shared" si="191"/>
        <v>29780.6470588236</v>
      </c>
      <c r="AA1734" s="34">
        <f>921367.302335879-325.5</f>
        <v>921041.802335879</v>
      </c>
      <c r="AB1734" s="24">
        <v>0.065</v>
      </c>
      <c r="AC1734" s="36"/>
      <c r="AD1734" s="36"/>
      <c r="AE1734" s="34" t="s">
        <v>2229</v>
      </c>
      <c r="AF1734" s="34" t="s">
        <v>53</v>
      </c>
      <c r="AG1734" s="24">
        <v>0</v>
      </c>
      <c r="AH1734" s="38" t="e">
        <v>#N/A</v>
      </c>
    </row>
    <row r="1735" ht="14.25" spans="1:34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2230</v>
      </c>
      <c r="F1735" s="20" t="s">
        <v>2230</v>
      </c>
      <c r="G1735" s="20" t="s">
        <v>2230</v>
      </c>
      <c r="H1735" s="20" t="s">
        <v>1999</v>
      </c>
      <c r="I1735" s="20" t="s">
        <v>2000</v>
      </c>
      <c r="J1735" s="20" t="s">
        <v>2001</v>
      </c>
      <c r="K1735" s="20" t="str">
        <f>VLOOKUP(H1735,[1]媒体表!C:T,18,0)</f>
        <v>北京多彩</v>
      </c>
      <c r="L1735" s="20" t="s">
        <v>2230</v>
      </c>
      <c r="M1735" s="20"/>
      <c r="N1735" s="20" t="s">
        <v>42</v>
      </c>
      <c r="O1735" s="20" t="s">
        <v>43</v>
      </c>
      <c r="P1735" s="47">
        <v>0.04</v>
      </c>
      <c r="Q1735" s="48" t="s">
        <v>2231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</v>
      </c>
      <c r="W1735" s="32">
        <f t="shared" ref="W1735:W1756" si="198">IF(O1735="返货",U1735/(1+P1735),IF(O1735="返现",U1735,IF(O1735="折扣",U1735*P1735,IF(O1735="无",U1735))))</f>
        <v>3157.98076923077</v>
      </c>
      <c r="X1735" s="32"/>
      <c r="Y1735" s="32">
        <f t="shared" si="194"/>
        <v>3157.98076923077</v>
      </c>
      <c r="Z1735" s="32">
        <f t="shared" si="191"/>
        <v>126.319230769231</v>
      </c>
      <c r="AA1735" s="34">
        <v>2013.95680579242</v>
      </c>
      <c r="AB1735" s="24">
        <v>0.065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ht="14.25" spans="1:34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2232</v>
      </c>
      <c r="F1736" s="20" t="s">
        <v>2232</v>
      </c>
      <c r="G1736" s="20" t="s">
        <v>2232</v>
      </c>
      <c r="H1736" s="20" t="s">
        <v>1999</v>
      </c>
      <c r="I1736" s="20" t="s">
        <v>2000</v>
      </c>
      <c r="J1736" s="20" t="s">
        <v>2001</v>
      </c>
      <c r="K1736" s="20" t="str">
        <f>VLOOKUP(H1736,[1]媒体表!C:T,18,0)</f>
        <v>北京多彩</v>
      </c>
      <c r="L1736" s="20" t="s">
        <v>2233</v>
      </c>
      <c r="M1736" s="20"/>
      <c r="N1736" s="20" t="s">
        <v>42</v>
      </c>
      <c r="O1736" s="20" t="s">
        <v>43</v>
      </c>
      <c r="P1736" s="47">
        <v>0.01</v>
      </c>
      <c r="Q1736" s="48" t="s">
        <v>2234</v>
      </c>
      <c r="R1736" s="30"/>
      <c r="S1736" s="34">
        <v>8741.22</v>
      </c>
      <c r="T1736" s="34">
        <v>20400</v>
      </c>
      <c r="U1736" s="32">
        <v>24861.2</v>
      </c>
      <c r="V1736" s="32">
        <f t="shared" si="196"/>
        <v>4280.02</v>
      </c>
      <c r="W1736" s="32">
        <f t="shared" si="198"/>
        <v>24615.0495049505</v>
      </c>
      <c r="X1736" s="32"/>
      <c r="Y1736" s="32">
        <f t="shared" si="194"/>
        <v>24615.0495049505</v>
      </c>
      <c r="Z1736" s="32">
        <f t="shared" si="191"/>
        <v>246.150495049504</v>
      </c>
      <c r="AA1736" s="34">
        <v>15245.0698596859</v>
      </c>
      <c r="AB1736" s="24">
        <v>0.065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ht="14.25" spans="1:34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2232</v>
      </c>
      <c r="F1737" s="20" t="s">
        <v>2232</v>
      </c>
      <c r="G1737" s="20" t="s">
        <v>2232</v>
      </c>
      <c r="H1737" s="20" t="s">
        <v>1999</v>
      </c>
      <c r="I1737" s="20" t="s">
        <v>2000</v>
      </c>
      <c r="J1737" s="20" t="s">
        <v>2001</v>
      </c>
      <c r="K1737" s="20" t="str">
        <f>VLOOKUP(H1737,[1]媒体表!C:T,18,0)</f>
        <v>北京多彩</v>
      </c>
      <c r="L1737" s="20" t="s">
        <v>2235</v>
      </c>
      <c r="M1737" s="20"/>
      <c r="N1737" s="20" t="s">
        <v>42</v>
      </c>
      <c r="O1737" s="20" t="s">
        <v>43</v>
      </c>
      <c r="P1737" s="47">
        <v>0.01</v>
      </c>
      <c r="Q1737" s="48" t="s">
        <v>2236</v>
      </c>
      <c r="R1737" s="30"/>
      <c r="S1737" s="34">
        <v>5672.9</v>
      </c>
      <c r="T1737" s="34"/>
      <c r="U1737" s="32">
        <v>5173.5</v>
      </c>
      <c r="V1737" s="32">
        <f t="shared" si="196"/>
        <v>499.4</v>
      </c>
      <c r="W1737" s="32">
        <f t="shared" si="198"/>
        <v>5122.27722772277</v>
      </c>
      <c r="X1737" s="32"/>
      <c r="Y1737" s="32">
        <f t="shared" si="194"/>
        <v>5122.27722772277</v>
      </c>
      <c r="Z1737" s="32">
        <f t="shared" si="191"/>
        <v>51.2227722772277</v>
      </c>
      <c r="AA1737" s="34">
        <v>3172.4280774494</v>
      </c>
      <c r="AB1737" s="24">
        <v>0.065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ht="14.25" spans="1:34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2237</v>
      </c>
      <c r="F1738" s="20" t="s">
        <v>2237</v>
      </c>
      <c r="G1738" s="20" t="s">
        <v>2237</v>
      </c>
      <c r="H1738" s="20" t="s">
        <v>1999</v>
      </c>
      <c r="I1738" s="20" t="s">
        <v>2000</v>
      </c>
      <c r="J1738" s="20" t="s">
        <v>2001</v>
      </c>
      <c r="K1738" s="20" t="str">
        <f>VLOOKUP(H1738,[1]媒体表!C:T,18,0)</f>
        <v>北京多彩</v>
      </c>
      <c r="L1738" s="20" t="s">
        <v>2238</v>
      </c>
      <c r="M1738" s="20"/>
      <c r="N1738" s="20" t="s">
        <v>42</v>
      </c>
      <c r="O1738" s="20" t="s">
        <v>43</v>
      </c>
      <c r="P1738" s="47">
        <v>0.02</v>
      </c>
      <c r="Q1738" s="48" t="s">
        <v>2239</v>
      </c>
      <c r="R1738" s="30"/>
      <c r="S1738" s="34">
        <v>-0.300000000000182</v>
      </c>
      <c r="T1738" s="34"/>
      <c r="U1738" s="32">
        <v>0</v>
      </c>
      <c r="V1738" s="32">
        <f t="shared" si="196"/>
        <v>-0.300000000000182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0.065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ht="14.25" spans="1:34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2240</v>
      </c>
      <c r="F1739" s="20" t="s">
        <v>2240</v>
      </c>
      <c r="G1739" s="20" t="s">
        <v>2240</v>
      </c>
      <c r="H1739" s="20" t="s">
        <v>1999</v>
      </c>
      <c r="I1739" s="20" t="s">
        <v>2000</v>
      </c>
      <c r="J1739" s="20" t="s">
        <v>2001</v>
      </c>
      <c r="K1739" s="20" t="str">
        <f>VLOOKUP(H1739,[1]媒体表!C:T,18,0)</f>
        <v>北京多彩</v>
      </c>
      <c r="L1739" s="20" t="s">
        <v>2241</v>
      </c>
      <c r="M1739" s="20"/>
      <c r="N1739" s="20" t="s">
        <v>42</v>
      </c>
      <c r="O1739" s="20" t="s">
        <v>82</v>
      </c>
      <c r="P1739" s="47">
        <v>0</v>
      </c>
      <c r="Q1739" s="48" t="s">
        <v>2242</v>
      </c>
      <c r="R1739" s="30"/>
      <c r="S1739" s="34">
        <v>62028.78</v>
      </c>
      <c r="T1739" s="34">
        <v>250000</v>
      </c>
      <c r="U1739" s="32">
        <v>146748.7</v>
      </c>
      <c r="V1739" s="32">
        <f t="shared" si="196"/>
        <v>165280.08</v>
      </c>
      <c r="W1739" s="32">
        <f t="shared" si="198"/>
        <v>146748.7</v>
      </c>
      <c r="X1739" s="32"/>
      <c r="Y1739" s="32">
        <f t="shared" si="194"/>
        <v>146748.7</v>
      </c>
      <c r="Z1739" s="32">
        <f t="shared" si="191"/>
        <v>0</v>
      </c>
      <c r="AA1739" s="34">
        <v>89987.3772512224</v>
      </c>
      <c r="AB1739" s="24">
        <v>0.065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ht="14.25" spans="1:34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1800</v>
      </c>
      <c r="F1740" s="20" t="s">
        <v>2243</v>
      </c>
      <c r="G1740" s="20" t="s">
        <v>1800</v>
      </c>
      <c r="H1740" s="20" t="s">
        <v>1999</v>
      </c>
      <c r="I1740" s="20" t="s">
        <v>2000</v>
      </c>
      <c r="J1740" s="20" t="s">
        <v>2001</v>
      </c>
      <c r="K1740" s="20" t="str">
        <f>VLOOKUP(H1740,[1]媒体表!C:T,18,0)</f>
        <v>北京多彩</v>
      </c>
      <c r="L1740" s="20" t="s">
        <v>2244</v>
      </c>
      <c r="M1740" s="20"/>
      <c r="N1740" s="20" t="s">
        <v>42</v>
      </c>
      <c r="O1740" s="20" t="s">
        <v>82</v>
      </c>
      <c r="P1740" s="47">
        <v>0</v>
      </c>
      <c r="Q1740" s="48" t="s">
        <v>2245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0.065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ht="14.25" spans="1:34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2246</v>
      </c>
      <c r="F1741" s="20" t="s">
        <v>2247</v>
      </c>
      <c r="G1741" s="20" t="s">
        <v>2246</v>
      </c>
      <c r="H1741" s="20" t="s">
        <v>1999</v>
      </c>
      <c r="I1741" s="20" t="s">
        <v>2000</v>
      </c>
      <c r="J1741" s="20" t="s">
        <v>2001</v>
      </c>
      <c r="K1741" s="20" t="str">
        <f>VLOOKUP(H1741,[1]媒体表!C:T,18,0)</f>
        <v>北京多彩</v>
      </c>
      <c r="L1741" s="20" t="s">
        <v>2246</v>
      </c>
      <c r="M1741" s="20"/>
      <c r="N1741" s="20" t="s">
        <v>42</v>
      </c>
      <c r="O1741" s="20" t="s">
        <v>43</v>
      </c>
      <c r="P1741" s="47">
        <v>0.05</v>
      </c>
      <c r="Q1741" s="48" t="s">
        <v>2248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0.065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ht="14.25" spans="1:34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1999</v>
      </c>
      <c r="I1742" s="20" t="s">
        <v>2000</v>
      </c>
      <c r="J1742" s="20" t="s">
        <v>2001</v>
      </c>
      <c r="K1742" s="20" t="str">
        <f>VLOOKUP(H1742,[1]媒体表!C:T,18,0)</f>
        <v>北京多彩</v>
      </c>
      <c r="L1742" s="20" t="s">
        <v>1724</v>
      </c>
      <c r="M1742" s="20"/>
      <c r="N1742" s="20" t="s">
        <v>59</v>
      </c>
      <c r="O1742" s="20" t="s">
        <v>43</v>
      </c>
      <c r="P1742" s="47">
        <v>0.04</v>
      </c>
      <c r="Q1742" s="48" t="s">
        <v>2249</v>
      </c>
      <c r="R1742" s="30"/>
      <c r="S1742" s="34">
        <v>0.0200000000186265</v>
      </c>
      <c r="T1742" s="34"/>
      <c r="U1742" s="32">
        <v>0</v>
      </c>
      <c r="V1742" s="32">
        <f t="shared" si="196"/>
        <v>0.0200000000186265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ht="14.25" spans="1:34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1999</v>
      </c>
      <c r="I1743" s="20" t="s">
        <v>2000</v>
      </c>
      <c r="J1743" s="20" t="s">
        <v>2001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2182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</v>
      </c>
      <c r="X1743" s="32"/>
      <c r="Y1743" s="32">
        <f t="shared" si="194"/>
        <v>75513.9423076923</v>
      </c>
      <c r="Z1743" s="32">
        <f t="shared" si="191"/>
        <v>3020.55769230769</v>
      </c>
      <c r="AA1743" s="34">
        <v>48157.9303853195</v>
      </c>
      <c r="AB1743" s="24">
        <v>0.065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ht="14.25" spans="1:34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1999</v>
      </c>
      <c r="I1744" s="20" t="s">
        <v>2000</v>
      </c>
      <c r="J1744" s="20" t="s">
        <v>2001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2250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</v>
      </c>
      <c r="AB1744" s="24">
        <v>0.065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ht="14.25" spans="1:34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1999</v>
      </c>
      <c r="I1745" s="20" t="s">
        <v>2000</v>
      </c>
      <c r="J1745" s="20" t="s">
        <v>2001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43</v>
      </c>
      <c r="P1745" s="47">
        <v>0.08</v>
      </c>
      <c r="Q1745" s="48" t="s">
        <v>2251</v>
      </c>
      <c r="R1745" s="30"/>
      <c r="S1745" s="34">
        <v>26068.08</v>
      </c>
      <c r="T1745" s="34"/>
      <c r="U1745" s="49">
        <v>21944.36</v>
      </c>
      <c r="V1745" s="32">
        <f t="shared" si="196"/>
        <v>4123.72</v>
      </c>
      <c r="W1745" s="32">
        <f t="shared" si="198"/>
        <v>20318.8518518519</v>
      </c>
      <c r="X1745" s="32"/>
      <c r="Y1745" s="32">
        <f t="shared" si="194"/>
        <v>20318.8518518519</v>
      </c>
      <c r="Z1745" s="32">
        <f t="shared" si="191"/>
        <v>1625.50814814815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ht="14.25" spans="1:34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1999</v>
      </c>
      <c r="I1746" s="20" t="s">
        <v>2000</v>
      </c>
      <c r="J1746" s="20" t="s">
        <v>2001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2251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ht="14.25" spans="1:34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1999</v>
      </c>
      <c r="I1747" s="20" t="s">
        <v>2000</v>
      </c>
      <c r="J1747" s="20" t="s">
        <v>2001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2251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ht="14.25" spans="1:34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1999</v>
      </c>
      <c r="I1748" s="20" t="s">
        <v>2000</v>
      </c>
      <c r="J1748" s="20" t="s">
        <v>2001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43</v>
      </c>
      <c r="P1748" s="47">
        <v>0.02</v>
      </c>
      <c r="Q1748" s="48" t="s">
        <v>2252</v>
      </c>
      <c r="R1748" s="30"/>
      <c r="S1748" s="34">
        <v>312884.1</v>
      </c>
      <c r="T1748" s="34"/>
      <c r="U1748" s="50">
        <v>312884.1</v>
      </c>
      <c r="V1748" s="32">
        <f t="shared" si="196"/>
        <v>0</v>
      </c>
      <c r="W1748" s="32">
        <f t="shared" si="198"/>
        <v>306749.117647059</v>
      </c>
      <c r="X1748" s="32"/>
      <c r="Y1748" s="32">
        <f t="shared" si="194"/>
        <v>306749.117647059</v>
      </c>
      <c r="Z1748" s="32">
        <f t="shared" si="199"/>
        <v>6134.98235294118</v>
      </c>
      <c r="AA1748" s="34">
        <v>0</v>
      </c>
      <c r="AB1748" s="24">
        <v>0.065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ht="14.25" spans="1:34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1999</v>
      </c>
      <c r="I1749" s="20" t="s">
        <v>2000</v>
      </c>
      <c r="J1749" s="20" t="s">
        <v>2001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2252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205731.17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862876.479056189</v>
      </c>
      <c r="AB1749" s="24">
        <v>0.065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ht="14.25" spans="1:34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2253</v>
      </c>
      <c r="F1750" s="20" t="s">
        <v>2253</v>
      </c>
      <c r="G1750" s="20" t="s">
        <v>2253</v>
      </c>
      <c r="H1750" s="20" t="s">
        <v>1999</v>
      </c>
      <c r="I1750" s="20" t="s">
        <v>2000</v>
      </c>
      <c r="J1750" s="20" t="s">
        <v>2001</v>
      </c>
      <c r="K1750" s="20" t="str">
        <f>VLOOKUP(H1750,[1]媒体表!C:T,18,0)</f>
        <v>北京多彩</v>
      </c>
      <c r="L1750" s="20" t="s">
        <v>2254</v>
      </c>
      <c r="M1750" s="20"/>
      <c r="N1750" s="20" t="s">
        <v>42</v>
      </c>
      <c r="O1750" s="20" t="s">
        <v>43</v>
      </c>
      <c r="P1750" s="47">
        <v>0.02</v>
      </c>
      <c r="Q1750" s="48" t="s">
        <v>2255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0.065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ht="14.25" spans="1:34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2256</v>
      </c>
      <c r="F1751" s="20" t="s">
        <v>2257</v>
      </c>
      <c r="G1751" s="20" t="s">
        <v>2256</v>
      </c>
      <c r="H1751" s="20" t="s">
        <v>1999</v>
      </c>
      <c r="I1751" s="20" t="s">
        <v>2000</v>
      </c>
      <c r="J1751" s="20" t="s">
        <v>2001</v>
      </c>
      <c r="K1751" s="20" t="str">
        <f>VLOOKUP(H1751,[1]媒体表!C:T,18,0)</f>
        <v>北京多彩</v>
      </c>
      <c r="L1751" s="20" t="s">
        <v>2256</v>
      </c>
      <c r="M1751" s="20"/>
      <c r="N1751" s="20" t="s">
        <v>42</v>
      </c>
      <c r="O1751" s="20" t="s">
        <v>43</v>
      </c>
      <c r="P1751" s="47">
        <v>0.02</v>
      </c>
      <c r="Q1751" s="48" t="s">
        <v>2258</v>
      </c>
      <c r="R1751" s="30"/>
      <c r="S1751" s="34">
        <v>-0.69999999999709</v>
      </c>
      <c r="T1751" s="34"/>
      <c r="U1751" s="32">
        <v>0</v>
      </c>
      <c r="V1751" s="32">
        <f t="shared" si="196"/>
        <v>-0.69999999999709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0.065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ht="14.25" spans="1:34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1999</v>
      </c>
      <c r="I1752" s="20" t="s">
        <v>2000</v>
      </c>
      <c r="J1752" s="20" t="s">
        <v>2001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2259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</v>
      </c>
      <c r="W1752" s="32">
        <f t="shared" si="198"/>
        <v>13814.5098039216</v>
      </c>
      <c r="X1752" s="32"/>
      <c r="Y1752" s="32">
        <f t="shared" si="194"/>
        <v>13814.5098039216</v>
      </c>
      <c r="Z1752" s="32">
        <f t="shared" si="199"/>
        <v>276.290196078431</v>
      </c>
      <c r="AA1752" s="34">
        <v>8640.58172489109</v>
      </c>
      <c r="AB1752" s="24">
        <v>0.065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ht="14.25" spans="1:34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2260</v>
      </c>
      <c r="F1753" s="20" t="s">
        <v>2261</v>
      </c>
      <c r="G1753" s="20" t="s">
        <v>2260</v>
      </c>
      <c r="H1753" s="20" t="s">
        <v>1999</v>
      </c>
      <c r="I1753" s="20" t="s">
        <v>2000</v>
      </c>
      <c r="J1753" s="20" t="s">
        <v>2001</v>
      </c>
      <c r="K1753" s="20" t="str">
        <f>VLOOKUP(H1753,[1]媒体表!C:T,18,0)</f>
        <v>北京多彩</v>
      </c>
      <c r="L1753" s="20" t="s">
        <v>2262</v>
      </c>
      <c r="M1753" s="20"/>
      <c r="N1753" s="20" t="s">
        <v>42</v>
      </c>
      <c r="O1753" s="20" t="s">
        <v>74</v>
      </c>
      <c r="P1753" s="47">
        <v>0.975</v>
      </c>
      <c r="Q1753" s="48" t="s">
        <v>2263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182654.041251995</v>
      </c>
      <c r="AB1753" s="24">
        <v>0.065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ht="14.25" spans="1:34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1999</v>
      </c>
      <c r="I1754" s="20" t="s">
        <v>2000</v>
      </c>
      <c r="J1754" s="20" t="s">
        <v>2001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2264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0.065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ht="14.25" spans="1:34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1999</v>
      </c>
      <c r="I1755" s="20" t="s">
        <v>2000</v>
      </c>
      <c r="J1755" s="20" t="s">
        <v>2001</v>
      </c>
      <c r="K1755" s="20" t="str">
        <f>VLOOKUP(H1755,[1]媒体表!C:T,18,0)</f>
        <v>北京多彩</v>
      </c>
      <c r="L1755" s="20" t="s">
        <v>2265</v>
      </c>
      <c r="M1755" s="20"/>
      <c r="N1755" s="20" t="s">
        <v>42</v>
      </c>
      <c r="O1755" s="20" t="s">
        <v>43</v>
      </c>
      <c r="P1755" s="47">
        <v>0.03</v>
      </c>
      <c r="Q1755" s="48" t="s">
        <v>2266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</v>
      </c>
      <c r="X1755" s="32"/>
      <c r="Y1755" s="32">
        <f t="shared" ref="Y1755:Y1766" si="200">W1755+X1755</f>
        <v>134679.067961165</v>
      </c>
      <c r="Z1755" s="32">
        <f t="shared" si="199"/>
        <v>4040.37203883496</v>
      </c>
      <c r="AA1755" s="34">
        <v>208446.399681846</v>
      </c>
      <c r="AB1755" s="24">
        <v>0.065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ht="14.25" spans="1:34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1999</v>
      </c>
      <c r="I1756" s="20" t="s">
        <v>2000</v>
      </c>
      <c r="J1756" s="20" t="s">
        <v>2001</v>
      </c>
      <c r="K1756" s="20" t="str">
        <f>VLOOKUP(H1756,[1]媒体表!C:T,18,0)</f>
        <v>北京多彩</v>
      </c>
      <c r="L1756" s="20" t="s">
        <v>2265</v>
      </c>
      <c r="M1756" s="20"/>
      <c r="N1756" s="20" t="s">
        <v>42</v>
      </c>
      <c r="O1756" s="20" t="s">
        <v>82</v>
      </c>
      <c r="P1756" s="47">
        <v>0</v>
      </c>
      <c r="Q1756" s="48" t="s">
        <v>2266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0.065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ht="14.25" spans="1:34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1999</v>
      </c>
      <c r="I1757" s="20" t="s">
        <v>2000</v>
      </c>
      <c r="J1757" s="20" t="s">
        <v>2001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2267</v>
      </c>
      <c r="R1757" s="30" t="s">
        <v>2268</v>
      </c>
      <c r="S1757" s="34">
        <v>0</v>
      </c>
      <c r="T1757" s="34">
        <v>920564.55</v>
      </c>
      <c r="U1757" s="49">
        <v>753016.02</v>
      </c>
      <c r="V1757" s="32">
        <f t="shared" si="196"/>
        <v>167548.53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</v>
      </c>
      <c r="AA1757" s="34">
        <v>760466.361566703</v>
      </c>
      <c r="AB1757" s="24">
        <v>0.065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ht="14.25" spans="1:34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2269</v>
      </c>
      <c r="F1758" s="20" t="s">
        <v>2269</v>
      </c>
      <c r="G1758" s="20" t="s">
        <v>2269</v>
      </c>
      <c r="H1758" s="20" t="s">
        <v>1999</v>
      </c>
      <c r="I1758" s="20" t="s">
        <v>2000</v>
      </c>
      <c r="J1758" s="20" t="s">
        <v>2001</v>
      </c>
      <c r="K1758" s="20" t="str">
        <f>VLOOKUP(H1758,[1]媒体表!C:T,18,0)</f>
        <v>北京多彩</v>
      </c>
      <c r="L1758" s="20" t="s">
        <v>2269</v>
      </c>
      <c r="M1758" s="20"/>
      <c r="N1758" s="20" t="s">
        <v>59</v>
      </c>
      <c r="O1758" s="20" t="s">
        <v>43</v>
      </c>
      <c r="P1758" s="47">
        <v>0.04</v>
      </c>
      <c r="Q1758" s="48" t="s">
        <v>2270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28580.63</v>
      </c>
      <c r="W1758" s="32">
        <f t="shared" ref="W1758:W1767" si="201">IF(O1758="返货",U1758/(1+P1758),IF(O1758="返现",U1758,IF(O1758="折扣",U1758*P1758,IF(O1758="无",U1758))))</f>
        <v>52326.3173076923</v>
      </c>
      <c r="X1758" s="32"/>
      <c r="Y1758" s="32">
        <f t="shared" si="200"/>
        <v>52326.3173076923</v>
      </c>
      <c r="Z1758" s="32">
        <f t="shared" si="199"/>
        <v>2093.0526923077</v>
      </c>
      <c r="AA1758" s="34">
        <v>42028.9416037858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ht="14.25" spans="1:34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2269</v>
      </c>
      <c r="F1759" s="20" t="s">
        <v>2269</v>
      </c>
      <c r="G1759" s="20" t="s">
        <v>2269</v>
      </c>
      <c r="H1759" s="20" t="s">
        <v>1999</v>
      </c>
      <c r="I1759" s="20" t="s">
        <v>2000</v>
      </c>
      <c r="J1759" s="20" t="s">
        <v>2001</v>
      </c>
      <c r="K1759" s="20" t="str">
        <f>VLOOKUP(H1759,[1]媒体表!C:T,18,0)</f>
        <v>北京多彩</v>
      </c>
      <c r="L1759" s="20" t="s">
        <v>2269</v>
      </c>
      <c r="M1759" s="20"/>
      <c r="N1759" s="20" t="s">
        <v>59</v>
      </c>
      <c r="O1759" s="20" t="s">
        <v>43</v>
      </c>
      <c r="P1759" s="47">
        <v>0.06</v>
      </c>
      <c r="Q1759" s="48" t="s">
        <v>2270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13320.9056603774</v>
      </c>
      <c r="X1759" s="32"/>
      <c r="Y1759" s="32">
        <f t="shared" si="200"/>
        <v>13320.9056603774</v>
      </c>
      <c r="Z1759" s="32">
        <f t="shared" si="199"/>
        <v>799.254339622643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ht="14.25" spans="1:34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2269</v>
      </c>
      <c r="F1760" s="20" t="s">
        <v>2269</v>
      </c>
      <c r="G1760" s="20" t="s">
        <v>2269</v>
      </c>
      <c r="H1760" s="20" t="s">
        <v>1999</v>
      </c>
      <c r="I1760" s="20" t="s">
        <v>2000</v>
      </c>
      <c r="J1760" s="20" t="s">
        <v>2001</v>
      </c>
      <c r="K1760" s="20" t="str">
        <f>VLOOKUP(H1760,[1]媒体表!C:T,18,0)</f>
        <v>北京多彩</v>
      </c>
      <c r="L1760" s="20" t="s">
        <v>2269</v>
      </c>
      <c r="M1760" s="20"/>
      <c r="N1760" s="20" t="s">
        <v>59</v>
      </c>
      <c r="O1760" s="20" t="s">
        <v>43</v>
      </c>
      <c r="P1760" s="47">
        <v>0.06</v>
      </c>
      <c r="Q1760" s="48" t="s">
        <v>2271</v>
      </c>
      <c r="R1760" s="30"/>
      <c r="S1760" s="34">
        <v>0.240000000005239</v>
      </c>
      <c r="T1760" s="34"/>
      <c r="U1760" s="32">
        <v>0</v>
      </c>
      <c r="V1760" s="32">
        <f t="shared" si="196"/>
        <v>0.240000000005239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ht="14.25" spans="1:34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2269</v>
      </c>
      <c r="F1761" s="20" t="s">
        <v>2269</v>
      </c>
      <c r="G1761" s="20" t="s">
        <v>2269</v>
      </c>
      <c r="H1761" s="20" t="s">
        <v>1999</v>
      </c>
      <c r="I1761" s="20" t="s">
        <v>2000</v>
      </c>
      <c r="J1761" s="20" t="s">
        <v>2001</v>
      </c>
      <c r="K1761" s="20" t="str">
        <f>VLOOKUP(H1761,[1]媒体表!C:T,18,0)</f>
        <v>北京多彩</v>
      </c>
      <c r="L1761" s="20" t="s">
        <v>2269</v>
      </c>
      <c r="M1761" s="20"/>
      <c r="N1761" s="20" t="s">
        <v>333</v>
      </c>
      <c r="O1761" s="20" t="s">
        <v>43</v>
      </c>
      <c r="P1761" s="47">
        <v>0.04</v>
      </c>
      <c r="Q1761" s="48" t="s">
        <v>2270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201.923076923077</v>
      </c>
      <c r="X1761" s="32"/>
      <c r="Y1761" s="32">
        <f t="shared" si="200"/>
        <v>201.923076923077</v>
      </c>
      <c r="Z1761" s="32">
        <f t="shared" si="199"/>
        <v>8.07692307692309</v>
      </c>
      <c r="AA1761" s="34">
        <v>128.77353750157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ht="14.25" spans="1:34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2272</v>
      </c>
      <c r="F1762" s="20" t="s">
        <v>2272</v>
      </c>
      <c r="G1762" s="20" t="s">
        <v>2272</v>
      </c>
      <c r="H1762" s="20" t="s">
        <v>1999</v>
      </c>
      <c r="I1762" s="20" t="s">
        <v>2000</v>
      </c>
      <c r="J1762" s="20" t="s">
        <v>2001</v>
      </c>
      <c r="K1762" s="20" t="str">
        <f>VLOOKUP(H1762,[1]媒体表!C:T,18,0)</f>
        <v>北京多彩</v>
      </c>
      <c r="L1762" s="20" t="s">
        <v>2273</v>
      </c>
      <c r="M1762" s="20"/>
      <c r="N1762" s="20" t="s">
        <v>42</v>
      </c>
      <c r="O1762" s="20" t="s">
        <v>43</v>
      </c>
      <c r="P1762" s="47">
        <v>0.03</v>
      </c>
      <c r="Q1762" s="48" t="s">
        <v>2274</v>
      </c>
      <c r="R1762" s="30"/>
      <c r="S1762" s="34">
        <v>0.599999999999454</v>
      </c>
      <c r="T1762" s="34"/>
      <c r="U1762" s="32">
        <v>0</v>
      </c>
      <c r="V1762" s="32">
        <f t="shared" si="196"/>
        <v>0.599999999999454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0.065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ht="14.25" spans="1:34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2275</v>
      </c>
      <c r="F1763" s="20" t="s">
        <v>2275</v>
      </c>
      <c r="G1763" s="20" t="s">
        <v>2275</v>
      </c>
      <c r="H1763" s="20" t="s">
        <v>1999</v>
      </c>
      <c r="I1763" s="20" t="s">
        <v>2000</v>
      </c>
      <c r="J1763" s="20" t="s">
        <v>2001</v>
      </c>
      <c r="K1763" s="20" t="str">
        <f>VLOOKUP(H1763,[1]媒体表!C:T,18,0)</f>
        <v>北京多彩</v>
      </c>
      <c r="L1763" s="20" t="s">
        <v>2276</v>
      </c>
      <c r="M1763" s="20"/>
      <c r="N1763" s="20" t="s">
        <v>42</v>
      </c>
      <c r="O1763" s="20" t="s">
        <v>82</v>
      </c>
      <c r="P1763" s="47">
        <v>0</v>
      </c>
      <c r="Q1763" s="48" t="s">
        <v>2277</v>
      </c>
      <c r="R1763" s="30"/>
      <c r="S1763" s="34">
        <v>4419.6</v>
      </c>
      <c r="T1763" s="34">
        <v>45000</v>
      </c>
      <c r="U1763" s="32">
        <v>40116.8</v>
      </c>
      <c r="V1763" s="32">
        <f t="shared" si="196"/>
        <v>9302.8</v>
      </c>
      <c r="W1763" s="32">
        <f t="shared" si="201"/>
        <v>40116.8</v>
      </c>
      <c r="X1763" s="32"/>
      <c r="Y1763" s="32">
        <f t="shared" si="200"/>
        <v>40116.8</v>
      </c>
      <c r="Z1763" s="32">
        <f t="shared" si="199"/>
        <v>0</v>
      </c>
      <c r="AA1763" s="34">
        <v>24599.9154725857</v>
      </c>
      <c r="AB1763" s="24">
        <v>0.065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ht="14.25" spans="1:34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2278</v>
      </c>
      <c r="F1764" s="20" t="s">
        <v>2278</v>
      </c>
      <c r="G1764" s="20" t="s">
        <v>2278</v>
      </c>
      <c r="H1764" s="20" t="s">
        <v>1999</v>
      </c>
      <c r="I1764" s="20" t="s">
        <v>2000</v>
      </c>
      <c r="J1764" s="20" t="s">
        <v>2001</v>
      </c>
      <c r="K1764" s="20" t="str">
        <f>VLOOKUP(H1764,[1]媒体表!C:T,18,0)</f>
        <v>北京多彩</v>
      </c>
      <c r="L1764" s="20" t="s">
        <v>2278</v>
      </c>
      <c r="M1764" s="20"/>
      <c r="N1764" s="20" t="s">
        <v>42</v>
      </c>
      <c r="O1764" s="20" t="s">
        <v>43</v>
      </c>
      <c r="P1764" s="47">
        <v>0.02</v>
      </c>
      <c r="Q1764" s="48" t="s">
        <v>2279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0.065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ht="14.25" spans="1:34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2280</v>
      </c>
      <c r="F1765" s="20" t="s">
        <v>2280</v>
      </c>
      <c r="G1765" s="20" t="s">
        <v>2280</v>
      </c>
      <c r="H1765" s="20" t="s">
        <v>1999</v>
      </c>
      <c r="I1765" s="20" t="s">
        <v>2000</v>
      </c>
      <c r="J1765" s="20" t="s">
        <v>2001</v>
      </c>
      <c r="K1765" s="20" t="str">
        <f>VLOOKUP(H1765,[1]媒体表!C:T,18,0)</f>
        <v>北京多彩</v>
      </c>
      <c r="L1765" s="20" t="s">
        <v>2280</v>
      </c>
      <c r="M1765" s="20"/>
      <c r="N1765" s="20" t="s">
        <v>42</v>
      </c>
      <c r="O1765" s="20" t="s">
        <v>43</v>
      </c>
      <c r="P1765" s="47">
        <v>0.03</v>
      </c>
      <c r="Q1765" s="48" t="s">
        <v>2281</v>
      </c>
      <c r="R1765" s="30"/>
      <c r="S1765" s="34">
        <v>5479.6</v>
      </c>
      <c r="T1765" s="34">
        <v>135.61</v>
      </c>
      <c r="U1765" s="32">
        <v>5615.21</v>
      </c>
      <c r="V1765" s="32">
        <f t="shared" si="196"/>
        <v>0</v>
      </c>
      <c r="W1765" s="32">
        <f t="shared" si="201"/>
        <v>5451.66019417476</v>
      </c>
      <c r="X1765" s="32"/>
      <c r="Y1765" s="32">
        <f t="shared" si="200"/>
        <v>5451.66019417476</v>
      </c>
      <c r="Z1765" s="32">
        <f t="shared" si="199"/>
        <v>163.549805825243</v>
      </c>
      <c r="AA1765" s="34">
        <v>9270.28432327377</v>
      </c>
      <c r="AB1765" s="24">
        <v>0.065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ht="14.25" spans="1:34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2280</v>
      </c>
      <c r="F1766" s="20" t="s">
        <v>2280</v>
      </c>
      <c r="G1766" s="20" t="s">
        <v>2280</v>
      </c>
      <c r="H1766" s="20" t="s">
        <v>1999</v>
      </c>
      <c r="I1766" s="20" t="s">
        <v>2000</v>
      </c>
      <c r="J1766" s="20" t="s">
        <v>2001</v>
      </c>
      <c r="K1766" s="20" t="str">
        <f>VLOOKUP(H1766,[1]媒体表!C:T,18,0)</f>
        <v>北京多彩</v>
      </c>
      <c r="L1766" s="20" t="s">
        <v>2280</v>
      </c>
      <c r="M1766" s="20"/>
      <c r="N1766" s="20" t="s">
        <v>42</v>
      </c>
      <c r="O1766" s="20" t="s">
        <v>82</v>
      </c>
      <c r="P1766" s="47">
        <v>0</v>
      </c>
      <c r="Q1766" s="48" t="s">
        <v>2281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0.065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ht="14.25" spans="1:34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1999</v>
      </c>
      <c r="I1767" s="20" t="s">
        <v>2000</v>
      </c>
      <c r="J1767" s="20" t="s">
        <v>2001</v>
      </c>
      <c r="K1767" s="20" t="str">
        <f>VLOOKUP(H1767,[1]媒体表!C:T,18,0)</f>
        <v>北京多彩</v>
      </c>
      <c r="L1767" s="20" t="s">
        <v>2282</v>
      </c>
      <c r="M1767" s="20"/>
      <c r="N1767" s="20" t="s">
        <v>59</v>
      </c>
      <c r="O1767" s="20" t="s">
        <v>43</v>
      </c>
      <c r="P1767" s="47">
        <v>0.08</v>
      </c>
      <c r="Q1767" s="48" t="s">
        <v>2283</v>
      </c>
      <c r="R1767" s="30"/>
      <c r="S1767" s="34">
        <v>5.35000000003015</v>
      </c>
      <c r="T1767" s="34"/>
      <c r="U1767" s="32">
        <v>0</v>
      </c>
      <c r="V1767" s="32">
        <f t="shared" si="196"/>
        <v>5.35000000003015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ht="14.25" spans="1:34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1999</v>
      </c>
      <c r="I1768" s="20" t="s">
        <v>2000</v>
      </c>
      <c r="J1768" s="20" t="s">
        <v>2001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2267</v>
      </c>
      <c r="R1768" s="30" t="s">
        <v>2284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37484.37</v>
      </c>
      <c r="AA1768" s="34">
        <v>0</v>
      </c>
      <c r="AB1768" s="24">
        <v>0.065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ht="14.25" spans="1:34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2285</v>
      </c>
      <c r="F1769" s="20" t="s">
        <v>2285</v>
      </c>
      <c r="G1769" s="20" t="s">
        <v>2286</v>
      </c>
      <c r="H1769" s="20" t="s">
        <v>1999</v>
      </c>
      <c r="I1769" s="20" t="s">
        <v>2000</v>
      </c>
      <c r="J1769" s="20" t="s">
        <v>2001</v>
      </c>
      <c r="K1769" s="20" t="str">
        <f>VLOOKUP(H1769,[1]媒体表!C:T,18,0)</f>
        <v>北京多彩</v>
      </c>
      <c r="L1769" s="20" t="s">
        <v>2287</v>
      </c>
      <c r="M1769" s="20"/>
      <c r="N1769" s="20" t="s">
        <v>42</v>
      </c>
      <c r="O1769" s="20" t="s">
        <v>82</v>
      </c>
      <c r="P1769" s="47">
        <v>0</v>
      </c>
      <c r="Q1769" s="48" t="s">
        <v>2288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</v>
      </c>
      <c r="AB1769" s="24">
        <v>0.065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ht="14.25" spans="1:34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1999</v>
      </c>
      <c r="I1770" s="20" t="s">
        <v>2000</v>
      </c>
      <c r="J1770" s="20" t="s">
        <v>2001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2289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3177.87254901961</v>
      </c>
      <c r="X1770" s="32"/>
      <c r="Y1770" s="32">
        <f t="shared" si="202"/>
        <v>3177.87254901961</v>
      </c>
      <c r="Z1770" s="32">
        <f t="shared" si="199"/>
        <v>63.5574509803923</v>
      </c>
      <c r="AA1770" s="34">
        <v>1987.66860792245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ht="14.25" spans="1:34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2262</v>
      </c>
      <c r="F1771" s="20" t="s">
        <v>2262</v>
      </c>
      <c r="G1771" s="20" t="s">
        <v>2262</v>
      </c>
      <c r="H1771" s="20" t="s">
        <v>1999</v>
      </c>
      <c r="I1771" s="20" t="s">
        <v>2000</v>
      </c>
      <c r="J1771" s="20" t="s">
        <v>2001</v>
      </c>
      <c r="K1771" s="20" t="str">
        <f>VLOOKUP(H1771,[1]媒体表!C:T,18,0)</f>
        <v>北京多彩</v>
      </c>
      <c r="L1771" s="20" t="s">
        <v>2262</v>
      </c>
      <c r="M1771" s="20"/>
      <c r="N1771" s="20" t="s">
        <v>42</v>
      </c>
      <c r="O1771" s="20" t="s">
        <v>43</v>
      </c>
      <c r="P1771" s="47">
        <v>0.02</v>
      </c>
      <c r="Q1771" s="48" t="s">
        <v>2263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</v>
      </c>
      <c r="X1771" s="32"/>
      <c r="Y1771" s="32">
        <f t="shared" si="202"/>
        <v>2992.40196078431</v>
      </c>
      <c r="Z1771" s="32">
        <f t="shared" si="199"/>
        <v>59.8480392156862</v>
      </c>
      <c r="AA1771" s="34">
        <v>0</v>
      </c>
      <c r="AB1771" s="24">
        <v>0.065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ht="14.25" spans="1:34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2262</v>
      </c>
      <c r="F1772" s="20" t="s">
        <v>2262</v>
      </c>
      <c r="G1772" s="20" t="s">
        <v>2262</v>
      </c>
      <c r="H1772" s="20" t="s">
        <v>1999</v>
      </c>
      <c r="I1772" s="20" t="s">
        <v>2000</v>
      </c>
      <c r="J1772" s="20" t="s">
        <v>2001</v>
      </c>
      <c r="K1772" s="20" t="str">
        <f>VLOOKUP(H1772,[1]媒体表!C:T,18,0)</f>
        <v>北京多彩</v>
      </c>
      <c r="L1772" s="20" t="s">
        <v>2262</v>
      </c>
      <c r="M1772" s="20"/>
      <c r="N1772" s="20" t="s">
        <v>42</v>
      </c>
      <c r="O1772" s="20" t="s">
        <v>82</v>
      </c>
      <c r="P1772" s="47">
        <v>0</v>
      </c>
      <c r="Q1772" s="48" t="s">
        <v>2263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0.065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ht="14.25" spans="1:34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2290</v>
      </c>
      <c r="F1773" s="20" t="s">
        <v>2290</v>
      </c>
      <c r="G1773" s="20" t="s">
        <v>2290</v>
      </c>
      <c r="H1773" s="20" t="s">
        <v>1999</v>
      </c>
      <c r="I1773" s="20" t="s">
        <v>2000</v>
      </c>
      <c r="J1773" s="20" t="s">
        <v>2001</v>
      </c>
      <c r="K1773" s="20" t="str">
        <f>VLOOKUP(H1773,[1]媒体表!C:T,18,0)</f>
        <v>北京多彩</v>
      </c>
      <c r="L1773" s="20" t="s">
        <v>2290</v>
      </c>
      <c r="M1773" s="20"/>
      <c r="N1773" s="20" t="s">
        <v>42</v>
      </c>
      <c r="O1773" s="20" t="s">
        <v>43</v>
      </c>
      <c r="P1773" s="47">
        <v>0.03</v>
      </c>
      <c r="Q1773" s="48" t="s">
        <v>2291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7234.7572815534</v>
      </c>
      <c r="X1773" s="32"/>
      <c r="Y1773" s="32">
        <f t="shared" si="202"/>
        <v>7234.7572815534</v>
      </c>
      <c r="Z1773" s="32">
        <f t="shared" si="199"/>
        <v>-1634.2572815534</v>
      </c>
      <c r="AA1773" s="34">
        <v>5285.5676037026</v>
      </c>
      <c r="AB1773" s="24">
        <v>0.065</v>
      </c>
      <c r="AC1773" s="36"/>
      <c r="AD1773" s="36"/>
      <c r="AE1773" s="34" t="s">
        <v>2292</v>
      </c>
      <c r="AF1773" s="34" t="s">
        <v>53</v>
      </c>
      <c r="AG1773" s="24">
        <v>0</v>
      </c>
      <c r="AH1773" s="38" t="e">
        <v>#N/A</v>
      </c>
    </row>
    <row r="1774" ht="14.25" spans="1:34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2290</v>
      </c>
      <c r="F1774" s="20" t="s">
        <v>2290</v>
      </c>
      <c r="G1774" s="20" t="s">
        <v>2290</v>
      </c>
      <c r="H1774" s="20" t="s">
        <v>1999</v>
      </c>
      <c r="I1774" s="20" t="s">
        <v>2000</v>
      </c>
      <c r="J1774" s="20" t="s">
        <v>2001</v>
      </c>
      <c r="K1774" s="20" t="str">
        <f>VLOOKUP(H1774,[1]媒体表!C:T,18,0)</f>
        <v>北京多彩</v>
      </c>
      <c r="L1774" s="20" t="s">
        <v>2290</v>
      </c>
      <c r="M1774" s="20"/>
      <c r="N1774" s="20" t="s">
        <v>42</v>
      </c>
      <c r="O1774" s="20" t="s">
        <v>43</v>
      </c>
      <c r="P1774" s="47">
        <v>0.03</v>
      </c>
      <c r="Q1774" s="48" t="s">
        <v>2293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0.065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ht="14.25" spans="1:34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1733</v>
      </c>
      <c r="F1775" s="20" t="s">
        <v>1733</v>
      </c>
      <c r="G1775" s="20" t="s">
        <v>1733</v>
      </c>
      <c r="H1775" s="20" t="s">
        <v>1999</v>
      </c>
      <c r="I1775" s="20" t="s">
        <v>2000</v>
      </c>
      <c r="J1775" s="20" t="s">
        <v>2001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2294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</v>
      </c>
      <c r="AB1775" s="24">
        <v>0.065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ht="14.25" spans="1:34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1999</v>
      </c>
      <c r="I1776" s="20" t="s">
        <v>2000</v>
      </c>
      <c r="J1776" s="20" t="s">
        <v>2001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2295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ht="14.25" spans="1:34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1999</v>
      </c>
      <c r="I1777" s="20" t="s">
        <v>2000</v>
      </c>
      <c r="J1777" s="20" t="s">
        <v>2001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2294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112904.660194175</v>
      </c>
      <c r="X1777" s="32"/>
      <c r="Y1777" s="32">
        <f t="shared" si="202"/>
        <v>112904.660194175</v>
      </c>
      <c r="Z1777" s="32">
        <f t="shared" si="199"/>
        <v>3387.13980582525</v>
      </c>
      <c r="AA1777" s="34">
        <v>0</v>
      </c>
      <c r="AB1777" s="24">
        <v>0.065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ht="14.25" spans="1:34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2296</v>
      </c>
      <c r="F1778" s="20" t="s">
        <v>2296</v>
      </c>
      <c r="G1778" s="20" t="s">
        <v>2296</v>
      </c>
      <c r="H1778" s="20" t="s">
        <v>1999</v>
      </c>
      <c r="I1778" s="20" t="s">
        <v>2000</v>
      </c>
      <c r="J1778" s="20" t="s">
        <v>2001</v>
      </c>
      <c r="K1778" s="20" t="str">
        <f>VLOOKUP(H1778,[1]媒体表!C:T,18,0)</f>
        <v>北京多彩</v>
      </c>
      <c r="L1778" s="20" t="s">
        <v>2296</v>
      </c>
      <c r="M1778" s="20"/>
      <c r="N1778" s="20" t="s">
        <v>42</v>
      </c>
      <c r="O1778" s="20" t="s">
        <v>43</v>
      </c>
      <c r="P1778" s="47">
        <v>0.02</v>
      </c>
      <c r="Q1778" s="48" t="s">
        <v>2297</v>
      </c>
      <c r="R1778" s="30"/>
      <c r="S1778" s="34">
        <v>0.599999999998545</v>
      </c>
      <c r="T1778" s="34"/>
      <c r="U1778" s="32">
        <v>0</v>
      </c>
      <c r="V1778" s="32">
        <f t="shared" si="204"/>
        <v>0.599999999998545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0.065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ht="14.25" spans="1:34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2296</v>
      </c>
      <c r="F1779" s="20" t="s">
        <v>2296</v>
      </c>
      <c r="G1779" s="20" t="s">
        <v>2296</v>
      </c>
      <c r="H1779" s="20" t="s">
        <v>1999</v>
      </c>
      <c r="I1779" s="20" t="s">
        <v>2000</v>
      </c>
      <c r="J1779" s="20" t="s">
        <v>2001</v>
      </c>
      <c r="K1779" s="20" t="str">
        <f>VLOOKUP(H1779,[1]媒体表!C:T,18,0)</f>
        <v>北京多彩</v>
      </c>
      <c r="L1779" s="20" t="s">
        <v>2298</v>
      </c>
      <c r="M1779" s="20"/>
      <c r="N1779" s="20" t="s">
        <v>42</v>
      </c>
      <c r="O1779" s="20" t="s">
        <v>43</v>
      </c>
      <c r="P1779" s="47">
        <v>0.02</v>
      </c>
      <c r="Q1779" s="48" t="s">
        <v>2299</v>
      </c>
      <c r="R1779" s="30"/>
      <c r="S1779" s="34">
        <v>19111.9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18369.7647058824</v>
      </c>
      <c r="X1779" s="32"/>
      <c r="Y1779" s="32">
        <f t="shared" si="202"/>
        <v>18369.7647058824</v>
      </c>
      <c r="Z1779" s="32">
        <f t="shared" si="199"/>
        <v>367.395294117647</v>
      </c>
      <c r="AA1779" s="34">
        <v>16094.6072828034</v>
      </c>
      <c r="AB1779" s="24">
        <v>0.065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ht="14.25" spans="1:34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2300</v>
      </c>
      <c r="F1780" s="20" t="s">
        <v>2300</v>
      </c>
      <c r="G1780" s="20" t="s">
        <v>2300</v>
      </c>
      <c r="H1780" s="20" t="s">
        <v>1999</v>
      </c>
      <c r="I1780" s="20" t="s">
        <v>2000</v>
      </c>
      <c r="J1780" s="20" t="s">
        <v>2001</v>
      </c>
      <c r="K1780" s="20" t="str">
        <f>VLOOKUP(H1780,[1]媒体表!C:T,18,0)</f>
        <v>北京多彩</v>
      </c>
      <c r="L1780" s="20" t="s">
        <v>2298</v>
      </c>
      <c r="M1780" s="20"/>
      <c r="N1780" s="20" t="s">
        <v>42</v>
      </c>
      <c r="O1780" s="20" t="s">
        <v>82</v>
      </c>
      <c r="P1780" s="47">
        <v>0</v>
      </c>
      <c r="Q1780" s="48" t="s">
        <v>2299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0.065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ht="14.25" spans="1:34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2301</v>
      </c>
      <c r="F1781" s="20" t="s">
        <v>2301</v>
      </c>
      <c r="G1781" s="20" t="s">
        <v>2301</v>
      </c>
      <c r="H1781" s="20" t="s">
        <v>1999</v>
      </c>
      <c r="I1781" s="20" t="s">
        <v>2000</v>
      </c>
      <c r="J1781" s="20" t="s">
        <v>2001</v>
      </c>
      <c r="K1781" s="20" t="str">
        <f>VLOOKUP(H1781,[1]媒体表!C:T,18,0)</f>
        <v>北京多彩</v>
      </c>
      <c r="L1781" s="20" t="s">
        <v>1790</v>
      </c>
      <c r="M1781" s="20"/>
      <c r="N1781" s="20" t="s">
        <v>59</v>
      </c>
      <c r="O1781" s="20" t="s">
        <v>43</v>
      </c>
      <c r="P1781" s="47">
        <v>0.08</v>
      </c>
      <c r="Q1781" s="48" t="s">
        <v>2302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ht="14.25" spans="1:34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2303</v>
      </c>
      <c r="F1782" s="20" t="s">
        <v>2303</v>
      </c>
      <c r="G1782" s="20" t="s">
        <v>2303</v>
      </c>
      <c r="H1782" s="20" t="s">
        <v>1999</v>
      </c>
      <c r="I1782" s="20" t="s">
        <v>2000</v>
      </c>
      <c r="J1782" s="20" t="s">
        <v>2001</v>
      </c>
      <c r="K1782" s="20" t="str">
        <f>VLOOKUP(H1782,[1]媒体表!C:T,18,0)</f>
        <v>北京多彩</v>
      </c>
      <c r="L1782" s="20" t="s">
        <v>2303</v>
      </c>
      <c r="M1782" s="20"/>
      <c r="N1782" s="20" t="s">
        <v>42</v>
      </c>
      <c r="O1782" s="20" t="s">
        <v>82</v>
      </c>
      <c r="P1782" s="47">
        <v>0</v>
      </c>
      <c r="Q1782" s="48" t="s">
        <v>2304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2595.09338431736</v>
      </c>
      <c r="AB1782" s="24">
        <v>0.065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ht="14.25" spans="1:34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2305</v>
      </c>
      <c r="F1783" s="20" t="s">
        <v>2305</v>
      </c>
      <c r="G1783" s="20" t="s">
        <v>2305</v>
      </c>
      <c r="H1783" s="20" t="s">
        <v>1999</v>
      </c>
      <c r="I1783" s="20" t="s">
        <v>2000</v>
      </c>
      <c r="J1783" s="20" t="s">
        <v>2001</v>
      </c>
      <c r="K1783" s="20" t="str">
        <f>VLOOKUP(H1783,[1]媒体表!C:T,18,0)</f>
        <v>北京多彩</v>
      </c>
      <c r="L1783" s="20" t="s">
        <v>2305</v>
      </c>
      <c r="M1783" s="20"/>
      <c r="N1783" s="20" t="s">
        <v>42</v>
      </c>
      <c r="O1783" s="20" t="s">
        <v>82</v>
      </c>
      <c r="P1783" s="47">
        <v>0</v>
      </c>
      <c r="Q1783" s="48" t="s">
        <v>2306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0.065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ht="14.25" spans="1:34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2307</v>
      </c>
      <c r="F1784" s="20" t="s">
        <v>2307</v>
      </c>
      <c r="G1784" s="20" t="s">
        <v>2307</v>
      </c>
      <c r="H1784" s="20" t="s">
        <v>1999</v>
      </c>
      <c r="I1784" s="20" t="s">
        <v>2000</v>
      </c>
      <c r="J1784" s="20" t="s">
        <v>2001</v>
      </c>
      <c r="K1784" s="20" t="str">
        <f>VLOOKUP(H1784,[1]媒体表!C:T,18,0)</f>
        <v>北京多彩</v>
      </c>
      <c r="L1784" s="20" t="s">
        <v>2307</v>
      </c>
      <c r="M1784" s="20"/>
      <c r="N1784" s="20" t="s">
        <v>59</v>
      </c>
      <c r="O1784" s="20" t="s">
        <v>151</v>
      </c>
      <c r="P1784" s="47">
        <v>0.09</v>
      </c>
      <c r="Q1784" s="48" t="s">
        <v>2308</v>
      </c>
      <c r="R1784" s="30"/>
      <c r="S1784" s="34">
        <v>10.0499999999993</v>
      </c>
      <c r="T1784" s="34"/>
      <c r="U1784" s="32">
        <v>0</v>
      </c>
      <c r="V1784" s="32">
        <f t="shared" si="204"/>
        <v>10.0499999999993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ht="14.25" spans="1:34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2309</v>
      </c>
      <c r="F1785" s="20" t="s">
        <v>2309</v>
      </c>
      <c r="G1785" s="20" t="s">
        <v>2309</v>
      </c>
      <c r="H1785" s="20" t="s">
        <v>1999</v>
      </c>
      <c r="I1785" s="20" t="s">
        <v>2000</v>
      </c>
      <c r="J1785" s="20" t="s">
        <v>2001</v>
      </c>
      <c r="K1785" s="20" t="str">
        <f>VLOOKUP(H1785,[1]媒体表!C:T,18,0)</f>
        <v>北京多彩</v>
      </c>
      <c r="L1785" s="20" t="s">
        <v>2310</v>
      </c>
      <c r="M1785" s="20"/>
      <c r="N1785" s="20" t="s">
        <v>59</v>
      </c>
      <c r="O1785" s="20" t="s">
        <v>151</v>
      </c>
      <c r="P1785" s="47">
        <v>0.0909</v>
      </c>
      <c r="Q1785" s="48" t="s">
        <v>2311</v>
      </c>
      <c r="R1785" s="30"/>
      <c r="S1785" s="34">
        <v>9.87999999988824</v>
      </c>
      <c r="T1785" s="34"/>
      <c r="U1785" s="32">
        <v>0</v>
      </c>
      <c r="V1785" s="32">
        <f t="shared" si="204"/>
        <v>9.87999999988824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ht="14.25" spans="1:34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2312</v>
      </c>
      <c r="F1786" s="20" t="s">
        <v>2312</v>
      </c>
      <c r="G1786" s="20" t="s">
        <v>2312</v>
      </c>
      <c r="H1786" s="20" t="s">
        <v>1999</v>
      </c>
      <c r="I1786" s="20" t="s">
        <v>2000</v>
      </c>
      <c r="J1786" s="20" t="s">
        <v>2001</v>
      </c>
      <c r="K1786" s="20" t="str">
        <f>VLOOKUP(H1786,[1]媒体表!C:T,18,0)</f>
        <v>北京多彩</v>
      </c>
      <c r="L1786" s="20" t="s">
        <v>2313</v>
      </c>
      <c r="M1786" s="20"/>
      <c r="N1786" s="20" t="s">
        <v>42</v>
      </c>
      <c r="O1786" s="20" t="s">
        <v>82</v>
      </c>
      <c r="P1786" s="47">
        <v>0</v>
      </c>
      <c r="Q1786" s="48" t="s">
        <v>2314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</v>
      </c>
      <c r="AA1786" s="34">
        <v>1000.75434858363</v>
      </c>
      <c r="AB1786" s="24">
        <v>0.065</v>
      </c>
      <c r="AC1786" s="36"/>
      <c r="AD1786" s="36"/>
      <c r="AE1786" s="34" t="s">
        <v>2006</v>
      </c>
      <c r="AF1786" s="34" t="s">
        <v>53</v>
      </c>
      <c r="AG1786" s="24">
        <v>0</v>
      </c>
      <c r="AH1786" s="38" t="e">
        <v>#N/A</v>
      </c>
    </row>
    <row r="1787" ht="14.25" spans="1:34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1999</v>
      </c>
      <c r="I1787" s="20" t="s">
        <v>2000</v>
      </c>
      <c r="J1787" s="20" t="s">
        <v>2001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2315</v>
      </c>
      <c r="R1787" s="30"/>
      <c r="S1787" s="34">
        <v>-3.70000000001164</v>
      </c>
      <c r="T1787" s="34"/>
      <c r="U1787" s="32">
        <v>0</v>
      </c>
      <c r="V1787" s="32">
        <f t="shared" si="204"/>
        <v>-3.70000000001164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0.065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ht="14.25" spans="1:34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2316</v>
      </c>
      <c r="F1788" s="20" t="s">
        <v>2316</v>
      </c>
      <c r="G1788" s="20" t="s">
        <v>2316</v>
      </c>
      <c r="H1788" s="20" t="s">
        <v>1999</v>
      </c>
      <c r="I1788" s="20" t="s">
        <v>2000</v>
      </c>
      <c r="J1788" s="20" t="s">
        <v>2001</v>
      </c>
      <c r="K1788" s="20" t="str">
        <f>VLOOKUP(H1788,[1]媒体表!C:T,18,0)</f>
        <v>北京多彩</v>
      </c>
      <c r="L1788" s="20" t="s">
        <v>2316</v>
      </c>
      <c r="M1788" s="20"/>
      <c r="N1788" s="20" t="s">
        <v>42</v>
      </c>
      <c r="O1788" s="20" t="s">
        <v>43</v>
      </c>
      <c r="P1788" s="47">
        <v>0.02</v>
      </c>
      <c r="Q1788" s="48" t="s">
        <v>2317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23912.2941176471</v>
      </c>
      <c r="X1788" s="32"/>
      <c r="Y1788" s="32">
        <f t="shared" si="206"/>
        <v>23912.2941176471</v>
      </c>
      <c r="Z1788" s="32">
        <f t="shared" si="207"/>
        <v>478.245882352941</v>
      </c>
      <c r="AA1788" s="34">
        <v>0</v>
      </c>
      <c r="AB1788" s="24">
        <v>0.065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ht="14.25" spans="1:34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2316</v>
      </c>
      <c r="F1789" s="20" t="s">
        <v>2316</v>
      </c>
      <c r="G1789" s="20" t="s">
        <v>2316</v>
      </c>
      <c r="H1789" s="20" t="s">
        <v>1999</v>
      </c>
      <c r="I1789" s="20" t="s">
        <v>2000</v>
      </c>
      <c r="J1789" s="20" t="s">
        <v>2001</v>
      </c>
      <c r="K1789" s="20" t="str">
        <f>VLOOKUP(H1789,[1]媒体表!C:T,18,0)</f>
        <v>北京多彩</v>
      </c>
      <c r="L1789" s="20" t="s">
        <v>2316</v>
      </c>
      <c r="M1789" s="20"/>
      <c r="N1789" s="20" t="s">
        <v>42</v>
      </c>
      <c r="O1789" s="20" t="s">
        <v>82</v>
      </c>
      <c r="P1789" s="47">
        <v>0</v>
      </c>
      <c r="Q1789" s="48" t="s">
        <v>2317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213743.468486607</v>
      </c>
      <c r="AB1789" s="24">
        <v>0.065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ht="14.25" spans="1:34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1741</v>
      </c>
      <c r="F1790" s="20" t="s">
        <v>1741</v>
      </c>
      <c r="G1790" s="20" t="s">
        <v>1741</v>
      </c>
      <c r="H1790" s="20" t="s">
        <v>1999</v>
      </c>
      <c r="I1790" s="20" t="s">
        <v>2000</v>
      </c>
      <c r="J1790" s="20" t="s">
        <v>2001</v>
      </c>
      <c r="K1790" s="20" t="str">
        <f>VLOOKUP(H1790,[1]媒体表!C:T,18,0)</f>
        <v>北京多彩</v>
      </c>
      <c r="L1790" s="20" t="s">
        <v>1741</v>
      </c>
      <c r="M1790" s="20"/>
      <c r="N1790" s="20" t="s">
        <v>59</v>
      </c>
      <c r="O1790" s="20" t="s">
        <v>43</v>
      </c>
      <c r="P1790" s="47">
        <v>0.15</v>
      </c>
      <c r="Q1790" s="48" t="s">
        <v>2318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 t="shared" si="208"/>
        <v>0</v>
      </c>
      <c r="X1790" s="32"/>
      <c r="Y1790" s="32">
        <f t="shared" si="206"/>
        <v>0</v>
      </c>
      <c r="Z1790" s="32">
        <f t="shared" si="207"/>
        <v>0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ht="14.25" spans="1:34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1742</v>
      </c>
      <c r="F1791" s="20" t="s">
        <v>1742</v>
      </c>
      <c r="G1791" s="20" t="s">
        <v>1742</v>
      </c>
      <c r="H1791" s="20" t="s">
        <v>1999</v>
      </c>
      <c r="I1791" s="20" t="s">
        <v>2000</v>
      </c>
      <c r="J1791" s="20" t="s">
        <v>2001</v>
      </c>
      <c r="K1791" s="20" t="str">
        <f>VLOOKUP(H1791,[1]媒体表!C:T,18,0)</f>
        <v>北京多彩</v>
      </c>
      <c r="L1791" s="20" t="s">
        <v>1742</v>
      </c>
      <c r="M1791" s="20"/>
      <c r="N1791" s="20" t="s">
        <v>59</v>
      </c>
      <c r="O1791" s="20" t="s">
        <v>43</v>
      </c>
      <c r="P1791" s="47">
        <v>0.11</v>
      </c>
      <c r="Q1791" s="48" t="s">
        <v>2319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ht="14.25" spans="1:34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1773</v>
      </c>
      <c r="F1792" s="20" t="s">
        <v>1773</v>
      </c>
      <c r="G1792" s="20" t="s">
        <v>1773</v>
      </c>
      <c r="H1792" s="20" t="s">
        <v>1999</v>
      </c>
      <c r="I1792" s="20" t="s">
        <v>2000</v>
      </c>
      <c r="J1792" s="20" t="s">
        <v>2001</v>
      </c>
      <c r="K1792" s="20" t="str">
        <f>VLOOKUP(H1792,[1]媒体表!C:T,18,0)</f>
        <v>北京多彩</v>
      </c>
      <c r="L1792" s="20" t="s">
        <v>1773</v>
      </c>
      <c r="M1792" s="20"/>
      <c r="N1792" s="20" t="s">
        <v>59</v>
      </c>
      <c r="O1792" s="20" t="s">
        <v>82</v>
      </c>
      <c r="P1792" s="47">
        <v>0</v>
      </c>
      <c r="Q1792" s="48" t="s">
        <v>2320</v>
      </c>
      <c r="R1792" s="30"/>
      <c r="S1792" s="34">
        <v>-0.0100000000002183</v>
      </c>
      <c r="T1792" s="34"/>
      <c r="U1792" s="32">
        <v>0</v>
      </c>
      <c r="V1792" s="32">
        <f t="shared" si="204"/>
        <v>-0.0100000000002183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ht="14.25" spans="1:34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1773</v>
      </c>
      <c r="F1793" s="20" t="s">
        <v>1773</v>
      </c>
      <c r="G1793" s="20" t="s">
        <v>1773</v>
      </c>
      <c r="H1793" s="20" t="s">
        <v>1999</v>
      </c>
      <c r="I1793" s="20" t="s">
        <v>2000</v>
      </c>
      <c r="J1793" s="20" t="s">
        <v>2001</v>
      </c>
      <c r="K1793" s="20" t="str">
        <f>VLOOKUP(H1793,[1]媒体表!C:T,18,0)</f>
        <v>北京多彩</v>
      </c>
      <c r="L1793" s="20" t="s">
        <v>1773</v>
      </c>
      <c r="M1793" s="20"/>
      <c r="N1793" s="20" t="s">
        <v>42</v>
      </c>
      <c r="O1793" s="20" t="s">
        <v>82</v>
      </c>
      <c r="P1793" s="47">
        <v>0</v>
      </c>
      <c r="Q1793" s="48" t="s">
        <v>2321</v>
      </c>
      <c r="R1793" s="30"/>
      <c r="S1793" s="34">
        <v>67664.8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0.065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ht="14.25" spans="1:34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1999</v>
      </c>
      <c r="I1794" s="20" t="s">
        <v>2000</v>
      </c>
      <c r="J1794" s="20" t="s">
        <v>2001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2322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4254.6</v>
      </c>
      <c r="W1794" s="32">
        <f t="shared" si="208"/>
        <v>24749.9019607843</v>
      </c>
      <c r="X1794" s="32"/>
      <c r="Y1794" s="32">
        <f t="shared" si="206"/>
        <v>24749.9019607843</v>
      </c>
      <c r="Z1794" s="32">
        <f t="shared" si="207"/>
        <v>494.998039215687</v>
      </c>
      <c r="AA1794" s="34">
        <v>15480.3575089209</v>
      </c>
      <c r="AB1794" s="24">
        <v>0.065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ht="14.25" spans="1:34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1749</v>
      </c>
      <c r="F1795" s="20" t="s">
        <v>1749</v>
      </c>
      <c r="G1795" s="20" t="s">
        <v>1749</v>
      </c>
      <c r="H1795" s="20" t="s">
        <v>1999</v>
      </c>
      <c r="I1795" s="20" t="s">
        <v>2000</v>
      </c>
      <c r="J1795" s="20" t="s">
        <v>2001</v>
      </c>
      <c r="K1795" s="20" t="str">
        <f>VLOOKUP(H1795,[1]媒体表!C:T,18,0)</f>
        <v>北京多彩</v>
      </c>
      <c r="L1795" s="20" t="s">
        <v>1749</v>
      </c>
      <c r="M1795" s="20"/>
      <c r="N1795" s="20" t="s">
        <v>59</v>
      </c>
      <c r="O1795" s="20" t="s">
        <v>43</v>
      </c>
      <c r="P1795" s="47">
        <v>0.08</v>
      </c>
      <c r="Q1795" s="48" t="s">
        <v>2323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ht="14.25" spans="1:34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1749</v>
      </c>
      <c r="F1796" s="20" t="s">
        <v>1749</v>
      </c>
      <c r="G1796" s="20" t="s">
        <v>1749</v>
      </c>
      <c r="H1796" s="20" t="s">
        <v>1999</v>
      </c>
      <c r="I1796" s="20" t="s">
        <v>2000</v>
      </c>
      <c r="J1796" s="20" t="s">
        <v>2001</v>
      </c>
      <c r="K1796" s="20" t="str">
        <f>VLOOKUP(H1796,[1]媒体表!C:T,18,0)</f>
        <v>北京多彩</v>
      </c>
      <c r="L1796" s="20" t="s">
        <v>1749</v>
      </c>
      <c r="M1796" s="20"/>
      <c r="N1796" s="20" t="s">
        <v>42</v>
      </c>
      <c r="O1796" s="20" t="s">
        <v>82</v>
      </c>
      <c r="P1796" s="47">
        <v>0</v>
      </c>
      <c r="Q1796" s="48" t="s">
        <v>2324</v>
      </c>
      <c r="R1796" s="30"/>
      <c r="S1796" s="34">
        <v>417097.01</v>
      </c>
      <c r="T1796" s="34">
        <v>17500000</v>
      </c>
      <c r="U1796" s="32">
        <v>17120417.45</v>
      </c>
      <c r="V1796" s="32">
        <f t="shared" si="204"/>
        <v>796679.560000002</v>
      </c>
      <c r="W1796" s="32">
        <f t="shared" si="208"/>
        <v>17120417.45</v>
      </c>
      <c r="X1796" s="32"/>
      <c r="Y1796" s="32">
        <f t="shared" si="206"/>
        <v>17120417.45</v>
      </c>
      <c r="Z1796" s="32">
        <f t="shared" si="207"/>
        <v>0</v>
      </c>
      <c r="AA1796" s="34">
        <v>10498365.3263815</v>
      </c>
      <c r="AB1796" s="24">
        <v>0.065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ht="14.25" spans="1:34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1749</v>
      </c>
      <c r="F1797" s="20" t="s">
        <v>1749</v>
      </c>
      <c r="G1797" s="20" t="s">
        <v>1749</v>
      </c>
      <c r="H1797" s="20" t="s">
        <v>1999</v>
      </c>
      <c r="I1797" s="20" t="s">
        <v>2000</v>
      </c>
      <c r="J1797" s="20" t="s">
        <v>2001</v>
      </c>
      <c r="K1797" s="20" t="str">
        <f>VLOOKUP(H1797,[1]媒体表!C:T,18,0)</f>
        <v>北京多彩</v>
      </c>
      <c r="L1797" s="20" t="s">
        <v>1749</v>
      </c>
      <c r="M1797" s="20"/>
      <c r="N1797" s="20" t="s">
        <v>333</v>
      </c>
      <c r="O1797" s="20" t="s">
        <v>43</v>
      </c>
      <c r="P1797" s="47">
        <v>0.08</v>
      </c>
      <c r="Q1797" s="48" t="s">
        <v>2323</v>
      </c>
      <c r="R1797" s="30"/>
      <c r="S1797" s="34">
        <v>-77222.46</v>
      </c>
      <c r="T1797" s="34"/>
      <c r="U1797" s="32">
        <v>0</v>
      </c>
      <c r="V1797" s="32">
        <f t="shared" si="204"/>
        <v>-77222.46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ht="14.25" spans="1:34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1999</v>
      </c>
      <c r="I1798" s="20" t="s">
        <v>2000</v>
      </c>
      <c r="J1798" s="20" t="s">
        <v>2001</v>
      </c>
      <c r="K1798" s="20" t="str">
        <f>VLOOKUP(H1798,[1]媒体表!C:T,18,0)</f>
        <v>北京多彩</v>
      </c>
      <c r="L1798" s="20" t="s">
        <v>2325</v>
      </c>
      <c r="M1798" s="20"/>
      <c r="N1798" s="20" t="s">
        <v>42</v>
      </c>
      <c r="O1798" s="20" t="s">
        <v>74</v>
      </c>
      <c r="P1798" s="47">
        <v>0.98</v>
      </c>
      <c r="Q1798" s="48" t="s">
        <v>2326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0.065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ht="14.25" spans="1:34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2327</v>
      </c>
      <c r="F1799" s="20" t="s">
        <v>2328</v>
      </c>
      <c r="G1799" s="20" t="s">
        <v>2327</v>
      </c>
      <c r="H1799" s="20" t="s">
        <v>1999</v>
      </c>
      <c r="I1799" s="20" t="s">
        <v>2000</v>
      </c>
      <c r="J1799" s="20" t="s">
        <v>2001</v>
      </c>
      <c r="K1799" s="20" t="str">
        <f>VLOOKUP(H1799,[1]媒体表!C:T,18,0)</f>
        <v>北京多彩</v>
      </c>
      <c r="L1799" s="20" t="s">
        <v>2327</v>
      </c>
      <c r="M1799" s="20"/>
      <c r="N1799" s="20" t="s">
        <v>42</v>
      </c>
      <c r="O1799" s="20" t="s">
        <v>74</v>
      </c>
      <c r="P1799" s="47">
        <v>0.96</v>
      </c>
      <c r="Q1799" s="48" t="s">
        <v>2329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0.065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ht="14.25" spans="1:34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1999</v>
      </c>
      <c r="I1800" s="20" t="s">
        <v>2000</v>
      </c>
      <c r="J1800" s="20" t="s">
        <v>2001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2330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0.065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ht="14.25" spans="1:34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1999</v>
      </c>
      <c r="I1801" s="20" t="s">
        <v>2000</v>
      </c>
      <c r="J1801" s="20" t="s">
        <v>2001</v>
      </c>
      <c r="K1801" s="20" t="str">
        <f>VLOOKUP(H1801,[1]媒体表!C:T,18,0)</f>
        <v>北京多彩</v>
      </c>
      <c r="L1801" s="20" t="s">
        <v>2331</v>
      </c>
      <c r="M1801" s="20"/>
      <c r="N1801" s="20" t="s">
        <v>42</v>
      </c>
      <c r="O1801" s="20" t="s">
        <v>82</v>
      </c>
      <c r="P1801" s="47">
        <v>0</v>
      </c>
      <c r="Q1801" s="48" t="s">
        <v>2332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0.065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ht="14.25" spans="1:34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1999</v>
      </c>
      <c r="I1802" s="20" t="s">
        <v>2000</v>
      </c>
      <c r="J1802" s="20" t="s">
        <v>2001</v>
      </c>
      <c r="K1802" s="20" t="str">
        <f>VLOOKUP(H1802,[1]媒体表!C:T,18,0)</f>
        <v>北京多彩</v>
      </c>
      <c r="L1802" s="20" t="s">
        <v>2331</v>
      </c>
      <c r="M1802" s="20"/>
      <c r="N1802" s="20" t="s">
        <v>42</v>
      </c>
      <c r="O1802" s="20" t="s">
        <v>74</v>
      </c>
      <c r="P1802" s="47">
        <v>0.96</v>
      </c>
      <c r="Q1802" s="48" t="s">
        <v>2332</v>
      </c>
      <c r="R1802" s="30"/>
      <c r="S1802" s="34">
        <v>962.199999999999</v>
      </c>
      <c r="T1802" s="34"/>
      <c r="U1802" s="50">
        <v>962.199999999999</v>
      </c>
      <c r="V1802" s="32">
        <f t="shared" si="204"/>
        <v>0</v>
      </c>
      <c r="W1802" s="32">
        <f t="shared" si="208"/>
        <v>923.711999999999</v>
      </c>
      <c r="X1802" s="32"/>
      <c r="Y1802" s="32">
        <f t="shared" si="206"/>
        <v>923.711999999999</v>
      </c>
      <c r="Z1802" s="32">
        <f t="shared" si="207"/>
        <v>38.4879999999999</v>
      </c>
      <c r="AA1802" s="34">
        <v>0</v>
      </c>
      <c r="AB1802" s="24">
        <v>0.065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ht="14.25" spans="1:34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1999</v>
      </c>
      <c r="I1803" s="20" t="s">
        <v>2000</v>
      </c>
      <c r="J1803" s="20" t="s">
        <v>2001</v>
      </c>
      <c r="K1803" s="20" t="str">
        <f>VLOOKUP(H1803,[1]媒体表!C:T,18,0)</f>
        <v>北京多彩</v>
      </c>
      <c r="L1803" s="20" t="s">
        <v>2331</v>
      </c>
      <c r="M1803" s="20"/>
      <c r="N1803" s="20" t="s">
        <v>42</v>
      </c>
      <c r="O1803" s="20" t="s">
        <v>74</v>
      </c>
      <c r="P1803" s="47">
        <v>0.98</v>
      </c>
      <c r="Q1803" s="48" t="s">
        <v>2332</v>
      </c>
      <c r="R1803" s="30"/>
      <c r="S1803" s="34">
        <v>0</v>
      </c>
      <c r="T1803" s="34">
        <v>60000</v>
      </c>
      <c r="U1803" s="49">
        <v>37741.7</v>
      </c>
      <c r="V1803" s="32">
        <f t="shared" si="204"/>
        <v>22258.3</v>
      </c>
      <c r="W1803" s="32">
        <f t="shared" si="208"/>
        <v>36986.866</v>
      </c>
      <c r="X1803" s="32"/>
      <c r="Y1803" s="32">
        <f t="shared" si="206"/>
        <v>36986.866</v>
      </c>
      <c r="Z1803" s="32">
        <f t="shared" si="207"/>
        <v>754.834000000003</v>
      </c>
      <c r="AA1803" s="34">
        <v>29865.5880624892</v>
      </c>
      <c r="AB1803" s="24">
        <v>0.065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ht="14.25" spans="1:34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2333</v>
      </c>
      <c r="F1804" s="20" t="s">
        <v>2333</v>
      </c>
      <c r="G1804" s="20" t="s">
        <v>2333</v>
      </c>
      <c r="H1804" s="20" t="s">
        <v>1999</v>
      </c>
      <c r="I1804" s="20" t="s">
        <v>2000</v>
      </c>
      <c r="J1804" s="20" t="s">
        <v>2001</v>
      </c>
      <c r="K1804" s="20" t="str">
        <f>VLOOKUP(H1804,[1]媒体表!C:T,18,0)</f>
        <v>北京多彩</v>
      </c>
      <c r="L1804" s="20" t="s">
        <v>2333</v>
      </c>
      <c r="M1804" s="20"/>
      <c r="N1804" s="20" t="s">
        <v>59</v>
      </c>
      <c r="O1804" s="20" t="s">
        <v>43</v>
      </c>
      <c r="P1804" s="47">
        <v>0.04</v>
      </c>
      <c r="Q1804" s="48" t="s">
        <v>2334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ht="14.25" spans="1:34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2333</v>
      </c>
      <c r="F1805" s="20" t="s">
        <v>2335</v>
      </c>
      <c r="G1805" s="20" t="s">
        <v>2333</v>
      </c>
      <c r="H1805" s="20" t="s">
        <v>1999</v>
      </c>
      <c r="I1805" s="20" t="s">
        <v>2000</v>
      </c>
      <c r="J1805" s="20" t="s">
        <v>2001</v>
      </c>
      <c r="K1805" s="20" t="str">
        <f>VLOOKUP(H1805,[1]媒体表!C:T,18,0)</f>
        <v>北京多彩</v>
      </c>
      <c r="L1805" s="20" t="s">
        <v>2333</v>
      </c>
      <c r="M1805" s="20"/>
      <c r="N1805" s="20" t="s">
        <v>42</v>
      </c>
      <c r="O1805" s="20" t="s">
        <v>43</v>
      </c>
      <c r="P1805" s="47">
        <v>0.04</v>
      </c>
      <c r="Q1805" s="48" t="s">
        <v>2334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</v>
      </c>
      <c r="X1805" s="32"/>
      <c r="Y1805" s="32">
        <f t="shared" si="206"/>
        <v>2297.11538461538</v>
      </c>
      <c r="Z1805" s="32">
        <f t="shared" si="207"/>
        <v>91.8846153846152</v>
      </c>
      <c r="AA1805" s="34">
        <v>1464.95229091072</v>
      </c>
      <c r="AB1805" s="24">
        <v>0.065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ht="14.25" spans="1:34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2336</v>
      </c>
      <c r="F1806" s="20" t="s">
        <v>2336</v>
      </c>
      <c r="G1806" s="20" t="s">
        <v>2336</v>
      </c>
      <c r="H1806" s="20" t="s">
        <v>1999</v>
      </c>
      <c r="I1806" s="20" t="s">
        <v>2000</v>
      </c>
      <c r="J1806" s="20" t="s">
        <v>2001</v>
      </c>
      <c r="K1806" s="20" t="str">
        <f>VLOOKUP(H1806,[1]媒体表!C:T,18,0)</f>
        <v>北京多彩</v>
      </c>
      <c r="L1806" s="20" t="s">
        <v>2331</v>
      </c>
      <c r="M1806" s="20"/>
      <c r="N1806" s="20" t="s">
        <v>59</v>
      </c>
      <c r="O1806" s="20" t="s">
        <v>74</v>
      </c>
      <c r="P1806" s="47">
        <v>0.92</v>
      </c>
      <c r="Q1806" s="48" t="s">
        <v>2332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ht="14.25" spans="1:34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1999</v>
      </c>
      <c r="I1807" s="20" t="s">
        <v>2000</v>
      </c>
      <c r="J1807" s="20" t="s">
        <v>2001</v>
      </c>
      <c r="K1807" s="20" t="str">
        <f>VLOOKUP(H1807,[1]媒体表!C:T,18,0)</f>
        <v>北京多彩</v>
      </c>
      <c r="L1807" s="20" t="s">
        <v>2333</v>
      </c>
      <c r="M1807" s="20"/>
      <c r="N1807" s="20" t="s">
        <v>42</v>
      </c>
      <c r="O1807" s="20" t="s">
        <v>74</v>
      </c>
      <c r="P1807" s="47">
        <v>0.96</v>
      </c>
      <c r="Q1807" s="48" t="s">
        <v>2337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881.472</v>
      </c>
      <c r="X1807" s="32"/>
      <c r="Y1807" s="32">
        <f t="shared" si="206"/>
        <v>881.472</v>
      </c>
      <c r="Z1807" s="32">
        <f t="shared" si="207"/>
        <v>36.7280000000001</v>
      </c>
      <c r="AA1807" s="34">
        <v>563.046962542581</v>
      </c>
      <c r="AB1807" s="24">
        <v>0.065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ht="14.25" spans="1:34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1999</v>
      </c>
      <c r="I1808" s="20" t="s">
        <v>2000</v>
      </c>
      <c r="J1808" s="20" t="s">
        <v>2001</v>
      </c>
      <c r="K1808" s="20" t="str">
        <f>VLOOKUP(H1808,[1]媒体表!C:T,18,0)</f>
        <v>北京多彩</v>
      </c>
      <c r="L1808" s="20" t="s">
        <v>2338</v>
      </c>
      <c r="M1808" s="20"/>
      <c r="N1808" s="20" t="s">
        <v>42</v>
      </c>
      <c r="O1808" s="20" t="s">
        <v>43</v>
      </c>
      <c r="P1808" s="47">
        <v>0.02</v>
      </c>
      <c r="Q1808" s="48" t="s">
        <v>2339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</v>
      </c>
      <c r="X1808" s="32"/>
      <c r="Y1808" s="32">
        <f t="shared" si="206"/>
        <v>33855.3921568627</v>
      </c>
      <c r="Z1808" s="32">
        <f t="shared" si="207"/>
        <v>677.107843137259</v>
      </c>
      <c r="AA1808" s="34">
        <v>21175.5818274904</v>
      </c>
      <c r="AB1808" s="24">
        <v>0.065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ht="14.25" spans="1:34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1999</v>
      </c>
      <c r="I1809" s="20" t="s">
        <v>2000</v>
      </c>
      <c r="J1809" s="20" t="s">
        <v>2001</v>
      </c>
      <c r="K1809" s="20" t="str">
        <f>VLOOKUP(H1809,[1]媒体表!C:T,18,0)</f>
        <v>北京多彩</v>
      </c>
      <c r="L1809" s="20" t="s">
        <v>1762</v>
      </c>
      <c r="M1809" s="20"/>
      <c r="N1809" s="20" t="s">
        <v>42</v>
      </c>
      <c r="O1809" s="20" t="s">
        <v>43</v>
      </c>
      <c r="P1809" s="47">
        <v>0.02</v>
      </c>
      <c r="Q1809" s="48" t="s">
        <v>2340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</v>
      </c>
      <c r="W1809" s="32">
        <f t="shared" si="208"/>
        <v>14887.7156862745</v>
      </c>
      <c r="X1809" s="32"/>
      <c r="Y1809" s="32">
        <f t="shared" si="206"/>
        <v>14887.7156862745</v>
      </c>
      <c r="Z1809" s="32">
        <f t="shared" si="207"/>
        <v>297.754313725491</v>
      </c>
      <c r="AA1809" s="34">
        <v>9969.34066971087</v>
      </c>
      <c r="AB1809" s="24">
        <v>0.065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ht="14.25" spans="1:34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2341</v>
      </c>
      <c r="G1810" s="20" t="s">
        <v>840</v>
      </c>
      <c r="H1810" s="20" t="s">
        <v>1999</v>
      </c>
      <c r="I1810" s="20" t="s">
        <v>2000</v>
      </c>
      <c r="J1810" s="20" t="s">
        <v>2001</v>
      </c>
      <c r="K1810" s="20" t="str">
        <f>VLOOKUP(H1810,[1]媒体表!C:T,18,0)</f>
        <v>北京多彩</v>
      </c>
      <c r="L1810" s="20" t="s">
        <v>2342</v>
      </c>
      <c r="M1810" s="20"/>
      <c r="N1810" s="20" t="s">
        <v>42</v>
      </c>
      <c r="O1810" s="20" t="s">
        <v>43</v>
      </c>
      <c r="P1810" s="47">
        <v>0.04</v>
      </c>
      <c r="Q1810" s="48" t="s">
        <v>2343</v>
      </c>
      <c r="R1810" s="30"/>
      <c r="S1810" s="34">
        <v>20414.1</v>
      </c>
      <c r="T1810" s="34">
        <v>-392.58</v>
      </c>
      <c r="U1810" s="32">
        <v>0</v>
      </c>
      <c r="V1810" s="32">
        <f t="shared" si="204"/>
        <v>20021.52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0.065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ht="14.25" spans="1:34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2341</v>
      </c>
      <c r="G1811" s="20" t="s">
        <v>840</v>
      </c>
      <c r="H1811" s="20" t="s">
        <v>1999</v>
      </c>
      <c r="I1811" s="20" t="s">
        <v>2000</v>
      </c>
      <c r="J1811" s="20" t="s">
        <v>2001</v>
      </c>
      <c r="K1811" s="20" t="str">
        <f>VLOOKUP(H1811,[1]媒体表!C:T,18,0)</f>
        <v>北京多彩</v>
      </c>
      <c r="L1811" s="20" t="s">
        <v>1762</v>
      </c>
      <c r="M1811" s="20"/>
      <c r="N1811" s="20" t="s">
        <v>42</v>
      </c>
      <c r="O1811" s="20" t="s">
        <v>43</v>
      </c>
      <c r="P1811" s="47">
        <v>0.04</v>
      </c>
      <c r="Q1811" s="48" t="s">
        <v>2340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</v>
      </c>
      <c r="X1811" s="32"/>
      <c r="Y1811" s="32">
        <f t="shared" si="206"/>
        <v>1030.99038461538</v>
      </c>
      <c r="Z1811" s="32">
        <f t="shared" si="207"/>
        <v>41.2396153846155</v>
      </c>
      <c r="AA1811" s="34">
        <v>0</v>
      </c>
      <c r="AB1811" s="24">
        <v>0.065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ht="14.25" spans="1:34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1999</v>
      </c>
      <c r="I1812" s="20" t="s">
        <v>2000</v>
      </c>
      <c r="J1812" s="20" t="s">
        <v>2001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2344</v>
      </c>
      <c r="R1812" s="30"/>
      <c r="S1812" s="34">
        <v>72570.02</v>
      </c>
      <c r="T1812" s="34">
        <v>-72551.09</v>
      </c>
      <c r="U1812" s="32">
        <v>18.94</v>
      </c>
      <c r="V1812" s="32">
        <v>0</v>
      </c>
      <c r="W1812" s="32">
        <f t="shared" si="208"/>
        <v>18.2115384615385</v>
      </c>
      <c r="X1812" s="32"/>
      <c r="Y1812" s="32">
        <f t="shared" si="206"/>
        <v>18.2115384615385</v>
      </c>
      <c r="Z1812" s="32">
        <f t="shared" si="207"/>
        <v>0.728461538461538</v>
      </c>
      <c r="AA1812" s="34">
        <v>11.6141466679988</v>
      </c>
      <c r="AB1812" s="24">
        <v>0.12</v>
      </c>
      <c r="AC1812" s="36"/>
      <c r="AD1812" s="36"/>
      <c r="AE1812" s="34" t="s">
        <v>2345</v>
      </c>
      <c r="AF1812" s="34" t="s">
        <v>44</v>
      </c>
      <c r="AG1812" s="24">
        <v>0</v>
      </c>
      <c r="AH1812" s="38" t="e">
        <v>#N/A</v>
      </c>
    </row>
    <row r="1813" ht="14.25" spans="1:34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1999</v>
      </c>
      <c r="I1813" s="20" t="s">
        <v>2000</v>
      </c>
      <c r="J1813" s="20" t="s">
        <v>2001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2344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2345</v>
      </c>
      <c r="AF1813" s="34" t="s">
        <v>44</v>
      </c>
      <c r="AG1813" s="24">
        <v>0</v>
      </c>
      <c r="AH1813" s="38" t="e">
        <v>#N/A</v>
      </c>
    </row>
    <row r="1814" ht="14.25" spans="1:34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2346</v>
      </c>
      <c r="F1814" s="20" t="s">
        <v>2346</v>
      </c>
      <c r="G1814" s="20" t="s">
        <v>2346</v>
      </c>
      <c r="H1814" s="20" t="s">
        <v>1999</v>
      </c>
      <c r="I1814" s="20" t="s">
        <v>2000</v>
      </c>
      <c r="J1814" s="20" t="s">
        <v>2001</v>
      </c>
      <c r="K1814" s="20" t="str">
        <f>VLOOKUP(H1814,[1]媒体表!C:T,18,0)</f>
        <v>北京多彩</v>
      </c>
      <c r="L1814" s="20" t="s">
        <v>2346</v>
      </c>
      <c r="M1814" s="20"/>
      <c r="N1814" s="20" t="s">
        <v>42</v>
      </c>
      <c r="O1814" s="20" t="s">
        <v>43</v>
      </c>
      <c r="P1814" s="47">
        <v>0.02</v>
      </c>
      <c r="Q1814" s="48" t="s">
        <v>2347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46437.2549019608</v>
      </c>
      <c r="X1814" s="32"/>
      <c r="Y1814" s="32">
        <f t="shared" si="206"/>
        <v>46437.2549019608</v>
      </c>
      <c r="Z1814" s="32">
        <f t="shared" si="207"/>
        <v>928.745098039217</v>
      </c>
      <c r="AA1814" s="34">
        <v>0</v>
      </c>
      <c r="AB1814" s="24">
        <v>0.065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ht="14.25" spans="1:34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2346</v>
      </c>
      <c r="F1815" s="20" t="s">
        <v>2346</v>
      </c>
      <c r="G1815" s="20" t="s">
        <v>2346</v>
      </c>
      <c r="H1815" s="20" t="s">
        <v>1999</v>
      </c>
      <c r="I1815" s="20" t="s">
        <v>2000</v>
      </c>
      <c r="J1815" s="20" t="s">
        <v>2001</v>
      </c>
      <c r="K1815" s="20" t="str">
        <f>VLOOKUP(H1815,[1]媒体表!C:T,18,0)</f>
        <v>北京多彩</v>
      </c>
      <c r="L1815" s="20" t="s">
        <v>2346</v>
      </c>
      <c r="M1815" s="20"/>
      <c r="N1815" s="20" t="s">
        <v>42</v>
      </c>
      <c r="O1815" s="20" t="s">
        <v>82</v>
      </c>
      <c r="P1815" s="47">
        <v>0</v>
      </c>
      <c r="Q1815" s="48" t="s">
        <v>2347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65490.1126842451</v>
      </c>
      <c r="AB1815" s="24">
        <v>0.065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ht="14.25" spans="1:34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2348</v>
      </c>
      <c r="F1816" s="20" t="s">
        <v>2349</v>
      </c>
      <c r="G1816" s="20" t="s">
        <v>2348</v>
      </c>
      <c r="H1816" s="20" t="s">
        <v>1999</v>
      </c>
      <c r="I1816" s="20" t="s">
        <v>2000</v>
      </c>
      <c r="J1816" s="20" t="s">
        <v>2001</v>
      </c>
      <c r="K1816" s="20" t="str">
        <f>VLOOKUP(H1816,[1]媒体表!C:T,18,0)</f>
        <v>北京多彩</v>
      </c>
      <c r="L1816" s="20" t="s">
        <v>2350</v>
      </c>
      <c r="M1816" s="47"/>
      <c r="N1816" s="20" t="s">
        <v>42</v>
      </c>
      <c r="O1816" s="20" t="s">
        <v>43</v>
      </c>
      <c r="P1816" s="47">
        <v>0.02</v>
      </c>
      <c r="Q1816" s="48" t="s">
        <v>2351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0.065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ht="14.25" spans="1:34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1999</v>
      </c>
      <c r="I1817" s="20" t="s">
        <v>2000</v>
      </c>
      <c r="J1817" s="20" t="s">
        <v>2001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43</v>
      </c>
      <c r="P1817" s="47">
        <v>0.04</v>
      </c>
      <c r="Q1817" s="48" t="s">
        <v>2352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12099.2307692308</v>
      </c>
      <c r="X1817" s="32"/>
      <c r="Y1817" s="32">
        <f t="shared" si="206"/>
        <v>12099.2307692308</v>
      </c>
      <c r="Z1817" s="32">
        <f t="shared" si="207"/>
        <v>483.969230769231</v>
      </c>
      <c r="AA1817" s="34">
        <v>0</v>
      </c>
      <c r="AB1817" s="24">
        <v>0.065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ht="14.25" spans="1:34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1999</v>
      </c>
      <c r="I1818" s="20" t="s">
        <v>2000</v>
      </c>
      <c r="J1818" s="20" t="s">
        <v>2001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2352</v>
      </c>
      <c r="R1818" s="40"/>
      <c r="S1818" s="34">
        <v>0</v>
      </c>
      <c r="T1818" s="34">
        <v>30000</v>
      </c>
      <c r="U1818" s="49">
        <v>18239.9</v>
      </c>
      <c r="V1818" s="32">
        <f t="shared" si="209"/>
        <v>11760.1</v>
      </c>
      <c r="W1818" s="32">
        <f t="shared" si="210"/>
        <v>18239.9</v>
      </c>
      <c r="X1818" s="32"/>
      <c r="Y1818" s="32">
        <f t="shared" si="206"/>
        <v>18239.9</v>
      </c>
      <c r="Z1818" s="32">
        <f t="shared" si="207"/>
        <v>0</v>
      </c>
      <c r="AA1818" s="34">
        <v>18900.9505893555</v>
      </c>
      <c r="AB1818" s="24">
        <v>0.065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ht="14.25" spans="1:34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1999</v>
      </c>
      <c r="I1819" s="20" t="s">
        <v>2000</v>
      </c>
      <c r="J1819" s="20" t="s">
        <v>2001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2352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0.065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ht="14.25" spans="1:34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2353</v>
      </c>
      <c r="F1820" s="20" t="s">
        <v>2353</v>
      </c>
      <c r="G1820" s="20" t="s">
        <v>2353</v>
      </c>
      <c r="H1820" s="20" t="s">
        <v>1999</v>
      </c>
      <c r="I1820" s="20" t="s">
        <v>2000</v>
      </c>
      <c r="J1820" s="20" t="s">
        <v>2001</v>
      </c>
      <c r="K1820" s="20" t="str">
        <f>VLOOKUP(H1820,[1]媒体表!C:T,18,0)</f>
        <v>北京多彩</v>
      </c>
      <c r="L1820" s="20" t="s">
        <v>2353</v>
      </c>
      <c r="M1820" s="47"/>
      <c r="N1820" s="20" t="s">
        <v>42</v>
      </c>
      <c r="O1820" s="20" t="s">
        <v>43</v>
      </c>
      <c r="P1820" s="47">
        <v>0.02</v>
      </c>
      <c r="Q1820" s="48" t="s">
        <v>2354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</v>
      </c>
      <c r="W1820" s="32">
        <f t="shared" si="210"/>
        <v>25332.4509803922</v>
      </c>
      <c r="X1820" s="32"/>
      <c r="Y1820" s="32">
        <f t="shared" si="206"/>
        <v>25332.4509803922</v>
      </c>
      <c r="Z1820" s="32">
        <f t="shared" si="207"/>
        <v>506.649019607845</v>
      </c>
      <c r="AA1820" s="34">
        <v>15844.7252993182</v>
      </c>
      <c r="AB1820" s="24">
        <v>0.065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ht="14.25" spans="1:34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2355</v>
      </c>
      <c r="F1821" s="20" t="s">
        <v>2355</v>
      </c>
      <c r="G1821" s="20" t="s">
        <v>2355</v>
      </c>
      <c r="H1821" s="20" t="s">
        <v>1999</v>
      </c>
      <c r="I1821" s="20" t="s">
        <v>2000</v>
      </c>
      <c r="J1821" s="20" t="s">
        <v>2001</v>
      </c>
      <c r="K1821" s="20" t="str">
        <f>VLOOKUP(H1821,[1]媒体表!C:T,18,0)</f>
        <v>北京多彩</v>
      </c>
      <c r="L1821" s="20" t="s">
        <v>2356</v>
      </c>
      <c r="M1821" s="47"/>
      <c r="N1821" s="20" t="s">
        <v>59</v>
      </c>
      <c r="O1821" s="20" t="s">
        <v>43</v>
      </c>
      <c r="P1821" s="47">
        <v>0.04</v>
      </c>
      <c r="Q1821" s="48" t="s">
        <v>2357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ht="14.25" spans="1:34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2355</v>
      </c>
      <c r="F1822" s="20" t="s">
        <v>2355</v>
      </c>
      <c r="G1822" s="20" t="s">
        <v>2355</v>
      </c>
      <c r="H1822" s="20" t="s">
        <v>1999</v>
      </c>
      <c r="I1822" s="20" t="s">
        <v>2000</v>
      </c>
      <c r="J1822" s="20" t="s">
        <v>2001</v>
      </c>
      <c r="K1822" s="20" t="str">
        <f>VLOOKUP(H1822,[1]媒体表!C:T,18,0)</f>
        <v>北京多彩</v>
      </c>
      <c r="L1822" s="20" t="s">
        <v>2356</v>
      </c>
      <c r="M1822" s="47"/>
      <c r="N1822" s="20" t="s">
        <v>42</v>
      </c>
      <c r="O1822" s="20" t="s">
        <v>43</v>
      </c>
      <c r="P1822" s="47">
        <v>0.02</v>
      </c>
      <c r="Q1822" s="48" t="s">
        <v>2358</v>
      </c>
      <c r="R1822" s="40"/>
      <c r="S1822" s="34">
        <v>23817.2</v>
      </c>
      <c r="T1822" s="34">
        <v>204000</v>
      </c>
      <c r="U1822" s="32">
        <v>193784.4</v>
      </c>
      <c r="V1822" s="32">
        <f t="shared" si="209"/>
        <v>34032.8</v>
      </c>
      <c r="W1822" s="32">
        <f t="shared" si="210"/>
        <v>189984.705882353</v>
      </c>
      <c r="X1822" s="32"/>
      <c r="Y1822" s="32">
        <f t="shared" si="206"/>
        <v>189984.705882353</v>
      </c>
      <c r="Z1822" s="32">
        <f t="shared" si="207"/>
        <v>3799.69411764707</v>
      </c>
      <c r="AA1822" s="34">
        <v>118830.012860092</v>
      </c>
      <c r="AB1822" s="24">
        <v>0.065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ht="14.25" spans="1:34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2355</v>
      </c>
      <c r="F1823" s="20" t="s">
        <v>2355</v>
      </c>
      <c r="G1823" s="20" t="s">
        <v>2355</v>
      </c>
      <c r="H1823" s="20" t="s">
        <v>1999</v>
      </c>
      <c r="I1823" s="20" t="s">
        <v>2000</v>
      </c>
      <c r="J1823" s="20" t="s">
        <v>2001</v>
      </c>
      <c r="K1823" s="20" t="str">
        <f>VLOOKUP(H1823,[1]媒体表!C:T,18,0)</f>
        <v>北京多彩</v>
      </c>
      <c r="L1823" s="20" t="s">
        <v>2356</v>
      </c>
      <c r="M1823" s="47"/>
      <c r="N1823" s="20" t="s">
        <v>333</v>
      </c>
      <c r="O1823" s="20" t="s">
        <v>43</v>
      </c>
      <c r="P1823" s="47">
        <v>0.04</v>
      </c>
      <c r="Q1823" s="48" t="s">
        <v>2357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</v>
      </c>
      <c r="X1823" s="32"/>
      <c r="Y1823" s="32">
        <f t="shared" si="206"/>
        <v>11962.2596153846</v>
      </c>
      <c r="Z1823" s="32">
        <f t="shared" si="207"/>
        <v>478.490384615385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ht="14.25" spans="1:34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2359</v>
      </c>
      <c r="F1824" s="20" t="s">
        <v>2359</v>
      </c>
      <c r="G1824" s="20" t="s">
        <v>2359</v>
      </c>
      <c r="H1824" s="20" t="s">
        <v>1999</v>
      </c>
      <c r="I1824" s="20" t="s">
        <v>2000</v>
      </c>
      <c r="J1824" s="20" t="s">
        <v>2001</v>
      </c>
      <c r="K1824" s="20" t="str">
        <f>VLOOKUP(H1824,[1]媒体表!C:T,18,0)</f>
        <v>北京多彩</v>
      </c>
      <c r="L1824" s="20" t="s">
        <v>2359</v>
      </c>
      <c r="M1824" s="47"/>
      <c r="N1824" s="20" t="s">
        <v>42</v>
      </c>
      <c r="O1824" s="20" t="s">
        <v>74</v>
      </c>
      <c r="P1824" s="47">
        <v>0.98</v>
      </c>
      <c r="Q1824" s="48" t="s">
        <v>2360</v>
      </c>
      <c r="R1824" s="40"/>
      <c r="S1824" s="34">
        <v>440.799999999988</v>
      </c>
      <c r="T1824" s="34"/>
      <c r="U1824" s="32">
        <v>0</v>
      </c>
      <c r="V1824" s="32">
        <f t="shared" si="209"/>
        <v>440.799999999988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0.065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ht="14.25" spans="1:34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2361</v>
      </c>
      <c r="F1825" s="20" t="s">
        <v>2361</v>
      </c>
      <c r="G1825" s="20" t="s">
        <v>2361</v>
      </c>
      <c r="H1825" s="20" t="s">
        <v>1999</v>
      </c>
      <c r="I1825" s="20" t="s">
        <v>2000</v>
      </c>
      <c r="J1825" s="20" t="s">
        <v>2001</v>
      </c>
      <c r="K1825" s="20" t="str">
        <f>VLOOKUP(H1825,[1]媒体表!C:T,18,0)</f>
        <v>北京多彩</v>
      </c>
      <c r="L1825" s="20" t="s">
        <v>2361</v>
      </c>
      <c r="M1825" s="47"/>
      <c r="N1825" s="20" t="s">
        <v>59</v>
      </c>
      <c r="O1825" s="20" t="s">
        <v>43</v>
      </c>
      <c r="P1825" s="47">
        <v>0.04</v>
      </c>
      <c r="Q1825" s="48" t="s">
        <v>2362</v>
      </c>
      <c r="R1825" s="40"/>
      <c r="S1825" s="34">
        <v>0.00999999999930878</v>
      </c>
      <c r="T1825" s="34"/>
      <c r="U1825" s="32">
        <v>0</v>
      </c>
      <c r="V1825" s="32">
        <f t="shared" si="209"/>
        <v>0.00999999999930878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ht="14.25" spans="1:34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2363</v>
      </c>
      <c r="F1826" s="20" t="s">
        <v>2363</v>
      </c>
      <c r="G1826" s="20" t="s">
        <v>2363</v>
      </c>
      <c r="H1826" s="20" t="s">
        <v>1999</v>
      </c>
      <c r="I1826" s="20" t="s">
        <v>2000</v>
      </c>
      <c r="J1826" s="20" t="s">
        <v>2001</v>
      </c>
      <c r="K1826" s="20" t="str">
        <f>VLOOKUP(H1826,[1]媒体表!C:T,18,0)</f>
        <v>北京多彩</v>
      </c>
      <c r="L1826" s="20" t="s">
        <v>1773</v>
      </c>
      <c r="M1826" s="47"/>
      <c r="N1826" s="20" t="s">
        <v>42</v>
      </c>
      <c r="O1826" s="20" t="s">
        <v>82</v>
      </c>
      <c r="P1826" s="47">
        <v>0</v>
      </c>
      <c r="Q1826" s="48" t="s">
        <v>2321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20016.1294241191</v>
      </c>
      <c r="AB1826" s="24">
        <v>0.065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ht="14.25" spans="1:34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1782</v>
      </c>
      <c r="F1827" s="20" t="s">
        <v>1782</v>
      </c>
      <c r="G1827" s="20" t="s">
        <v>1782</v>
      </c>
      <c r="H1827" s="20" t="s">
        <v>1999</v>
      </c>
      <c r="I1827" s="20" t="s">
        <v>2000</v>
      </c>
      <c r="J1827" s="20" t="s">
        <v>2001</v>
      </c>
      <c r="K1827" s="20" t="str">
        <f>VLOOKUP(H1827,[1]媒体表!C:T,18,0)</f>
        <v>北京多彩</v>
      </c>
      <c r="L1827" s="20" t="s">
        <v>1782</v>
      </c>
      <c r="M1827" s="47"/>
      <c r="N1827" s="20" t="s">
        <v>42</v>
      </c>
      <c r="O1827" s="20" t="s">
        <v>82</v>
      </c>
      <c r="P1827" s="47">
        <v>0</v>
      </c>
      <c r="Q1827" s="48" t="s">
        <v>2364</v>
      </c>
      <c r="R1827" s="40"/>
      <c r="S1827" s="34">
        <v>19771.74</v>
      </c>
      <c r="T1827" s="34"/>
      <c r="U1827" s="32">
        <v>0</v>
      </c>
      <c r="V1827" s="32">
        <v>0</v>
      </c>
      <c r="W1827" s="32">
        <f>S1827</f>
        <v>19771.74</v>
      </c>
      <c r="X1827" s="32"/>
      <c r="Y1827" s="32">
        <f t="shared" si="206"/>
        <v>19771.74</v>
      </c>
      <c r="Z1827" s="32">
        <f t="shared" si="207"/>
        <v>-19771.74</v>
      </c>
      <c r="AA1827" s="34">
        <v>19771.74</v>
      </c>
      <c r="AB1827" s="24">
        <v>0.065</v>
      </c>
      <c r="AC1827" s="36"/>
      <c r="AD1827" s="36"/>
      <c r="AE1827" s="34" t="s">
        <v>2365</v>
      </c>
      <c r="AF1827" s="34" t="s">
        <v>44</v>
      </c>
      <c r="AG1827" s="24">
        <v>0</v>
      </c>
      <c r="AH1827" s="38" t="e">
        <v>#N/A</v>
      </c>
    </row>
    <row r="1828" ht="14.25" spans="1:34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1999</v>
      </c>
      <c r="I1828" s="20" t="s">
        <v>2000</v>
      </c>
      <c r="J1828" s="20" t="s">
        <v>2001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ht="14.25" spans="1:34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2366</v>
      </c>
      <c r="F1829" s="20" t="s">
        <v>2366</v>
      </c>
      <c r="G1829" s="20" t="s">
        <v>2366</v>
      </c>
      <c r="H1829" s="20" t="s">
        <v>1999</v>
      </c>
      <c r="I1829" s="20" t="s">
        <v>2000</v>
      </c>
      <c r="J1829" s="20" t="s">
        <v>2001</v>
      </c>
      <c r="K1829" s="20" t="str">
        <f>VLOOKUP(H1829,[1]媒体表!C:T,18,0)</f>
        <v>北京多彩</v>
      </c>
      <c r="L1829" s="20" t="s">
        <v>2366</v>
      </c>
      <c r="M1829" s="47"/>
      <c r="N1829" s="20" t="s">
        <v>42</v>
      </c>
      <c r="O1829" s="20" t="s">
        <v>43</v>
      </c>
      <c r="P1829" s="47">
        <v>0.04</v>
      </c>
      <c r="Q1829" s="48" t="s">
        <v>2367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458.490384615385</v>
      </c>
      <c r="X1829" s="32"/>
      <c r="Y1829" s="32">
        <f t="shared" si="206"/>
        <v>458.490384615385</v>
      </c>
      <c r="Z1829" s="32">
        <f t="shared" si="207"/>
        <v>18.3396153846154</v>
      </c>
      <c r="AA1829" s="34">
        <v>2797.26783819483</v>
      </c>
      <c r="AB1829" s="24">
        <v>0.065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ht="14.25" spans="1:34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2366</v>
      </c>
      <c r="F1830" s="20" t="s">
        <v>2366</v>
      </c>
      <c r="G1830" s="20" t="s">
        <v>2366</v>
      </c>
      <c r="H1830" s="20" t="s">
        <v>1999</v>
      </c>
      <c r="I1830" s="20" t="s">
        <v>2000</v>
      </c>
      <c r="J1830" s="20" t="s">
        <v>2001</v>
      </c>
      <c r="K1830" s="20" t="str">
        <f>VLOOKUP(H1830,[1]媒体表!C:T,18,0)</f>
        <v>北京多彩</v>
      </c>
      <c r="L1830" s="20" t="s">
        <v>2366</v>
      </c>
      <c r="M1830" s="47"/>
      <c r="N1830" s="20" t="s">
        <v>42</v>
      </c>
      <c r="O1830" s="20" t="s">
        <v>82</v>
      </c>
      <c r="P1830" s="47">
        <v>0</v>
      </c>
      <c r="Q1830" s="48" t="s">
        <v>2367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0.065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ht="14.25" spans="1:34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2366</v>
      </c>
      <c r="F1831" s="20" t="s">
        <v>2366</v>
      </c>
      <c r="G1831" s="20" t="s">
        <v>2366</v>
      </c>
      <c r="H1831" s="20" t="s">
        <v>1999</v>
      </c>
      <c r="I1831" s="20" t="s">
        <v>2000</v>
      </c>
      <c r="J1831" s="20" t="s">
        <v>2001</v>
      </c>
      <c r="K1831" s="20" t="str">
        <f>VLOOKUP(H1831,[1]媒体表!C:T,18,0)</f>
        <v>北京多彩</v>
      </c>
      <c r="L1831" s="20" t="s">
        <v>2366</v>
      </c>
      <c r="M1831" s="47"/>
      <c r="N1831" s="20" t="s">
        <v>333</v>
      </c>
      <c r="O1831" s="20" t="s">
        <v>82</v>
      </c>
      <c r="P1831" s="47">
        <v>0</v>
      </c>
      <c r="Q1831" s="48" t="s">
        <v>2367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ht="14.25" spans="1:34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1999</v>
      </c>
      <c r="I1832" s="20" t="s">
        <v>2000</v>
      </c>
      <c r="J1832" s="20" t="s">
        <v>2001</v>
      </c>
      <c r="K1832" s="20" t="str">
        <f>VLOOKUP(H1832,[1]媒体表!C:T,18,0)</f>
        <v>北京多彩</v>
      </c>
      <c r="L1832" s="20" t="s">
        <v>2368</v>
      </c>
      <c r="M1832" s="47"/>
      <c r="N1832" s="20" t="s">
        <v>59</v>
      </c>
      <c r="O1832" s="20" t="s">
        <v>43</v>
      </c>
      <c r="P1832" s="47">
        <v>0.02</v>
      </c>
      <c r="Q1832" s="48" t="s">
        <v>2369</v>
      </c>
      <c r="R1832" s="40"/>
      <c r="S1832" s="34">
        <v>0</v>
      </c>
      <c r="T1832" s="34">
        <v>-8838.85</v>
      </c>
      <c r="U1832" s="32">
        <v>1518.99</v>
      </c>
      <c r="V1832" s="32">
        <f t="shared" si="211"/>
        <v>-10357.84</v>
      </c>
      <c r="W1832" s="32">
        <f t="shared" si="212"/>
        <v>1489.20588235294</v>
      </c>
      <c r="X1832" s="32"/>
      <c r="Y1832" s="32"/>
      <c r="Z1832" s="32">
        <f t="shared" si="207"/>
        <v>29.7841176470588</v>
      </c>
      <c r="AA1832" s="34">
        <v>931.455789188145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ht="14.25" spans="1:34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1999</v>
      </c>
      <c r="I1833" s="20" t="s">
        <v>2000</v>
      </c>
      <c r="J1833" s="20" t="s">
        <v>2001</v>
      </c>
      <c r="K1833" s="20" t="str">
        <f>VLOOKUP(H1833,[1]媒体表!C:T,18,0)</f>
        <v>北京多彩</v>
      </c>
      <c r="L1833" s="20" t="s">
        <v>2368</v>
      </c>
      <c r="M1833" s="47"/>
      <c r="N1833" s="20" t="s">
        <v>59</v>
      </c>
      <c r="O1833" s="20" t="s">
        <v>43</v>
      </c>
      <c r="P1833" s="47">
        <v>0.06</v>
      </c>
      <c r="Q1833" s="48" t="s">
        <v>2369</v>
      </c>
      <c r="R1833" s="40"/>
      <c r="S1833" s="34">
        <v>10357.84</v>
      </c>
      <c r="T1833" s="34"/>
      <c r="U1833" s="32">
        <v>0</v>
      </c>
      <c r="V1833" s="32">
        <f t="shared" si="211"/>
        <v>10357.84</v>
      </c>
      <c r="W1833" s="32">
        <f t="shared" si="212"/>
        <v>0</v>
      </c>
      <c r="X1833" s="32"/>
      <c r="Y1833" s="32"/>
      <c r="Z1833" s="32">
        <f t="shared" si="207"/>
        <v>0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ht="14.25" spans="1:34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1999</v>
      </c>
      <c r="I1834" s="20" t="s">
        <v>2000</v>
      </c>
      <c r="J1834" s="20" t="s">
        <v>2001</v>
      </c>
      <c r="K1834" s="20" t="str">
        <f>VLOOKUP(H1834,[1]媒体表!C:T,18,0)</f>
        <v>北京多彩</v>
      </c>
      <c r="L1834" s="20" t="s">
        <v>2368</v>
      </c>
      <c r="M1834" s="47"/>
      <c r="N1834" s="20" t="s">
        <v>42</v>
      </c>
      <c r="O1834" s="20" t="s">
        <v>43</v>
      </c>
      <c r="P1834" s="47">
        <v>0.02</v>
      </c>
      <c r="Q1834" s="48" t="s">
        <v>2370</v>
      </c>
      <c r="R1834" s="40"/>
      <c r="S1834" s="34">
        <v>0</v>
      </c>
      <c r="T1834" s="34">
        <v>299996.55</v>
      </c>
      <c r="U1834" s="49">
        <v>300010.99</v>
      </c>
      <c r="V1834" s="32">
        <f t="shared" si="211"/>
        <v>-14.4400000000023</v>
      </c>
      <c r="W1834" s="32">
        <f t="shared" si="212"/>
        <v>294128.421568627</v>
      </c>
      <c r="X1834" s="32"/>
      <c r="Y1834" s="32"/>
      <c r="Z1834" s="32">
        <f t="shared" si="207"/>
        <v>5882.56843137258</v>
      </c>
      <c r="AA1834" s="34">
        <v>189664.282539311</v>
      </c>
      <c r="AB1834" s="24">
        <v>0.065</v>
      </c>
      <c r="AC1834" s="36"/>
      <c r="AD1834" s="36"/>
      <c r="AE1834" s="34"/>
      <c r="AF1834" s="34" t="s">
        <v>53</v>
      </c>
      <c r="AG1834" s="24">
        <v>0</v>
      </c>
      <c r="AH1834" s="38">
        <v>5</v>
      </c>
    </row>
    <row r="1835" ht="14.25" spans="1:34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1999</v>
      </c>
      <c r="I1835" s="20" t="s">
        <v>2000</v>
      </c>
      <c r="J1835" s="20" t="s">
        <v>2001</v>
      </c>
      <c r="K1835" s="20" t="str">
        <f>VLOOKUP(H1835,[1]媒体表!C:T,18,0)</f>
        <v>北京多彩</v>
      </c>
      <c r="L1835" s="20" t="s">
        <v>2368</v>
      </c>
      <c r="M1835" s="47"/>
      <c r="N1835" s="20" t="s">
        <v>42</v>
      </c>
      <c r="O1835" s="20" t="s">
        <v>43</v>
      </c>
      <c r="P1835" s="47">
        <v>0.03</v>
      </c>
      <c r="Q1835" s="48" t="s">
        <v>2370</v>
      </c>
      <c r="R1835" s="40"/>
      <c r="S1835" s="34">
        <v>109287.8</v>
      </c>
      <c r="T1835" s="34">
        <v>-100000</v>
      </c>
      <c r="U1835" s="49">
        <v>9287.8</v>
      </c>
      <c r="V1835" s="32">
        <f t="shared" si="211"/>
        <v>0</v>
      </c>
      <c r="W1835" s="32">
        <f t="shared" si="212"/>
        <v>9017.28155339806</v>
      </c>
      <c r="X1835" s="32"/>
      <c r="Y1835" s="32"/>
      <c r="Z1835" s="32">
        <f t="shared" si="207"/>
        <v>270.518446601942</v>
      </c>
      <c r="AA1835" s="34">
        <v>0</v>
      </c>
      <c r="AB1835" s="24">
        <v>0.065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ht="14.25" spans="1:34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2371</v>
      </c>
      <c r="F1836" s="20" t="s">
        <v>2371</v>
      </c>
      <c r="G1836" s="20" t="s">
        <v>2371</v>
      </c>
      <c r="H1836" s="20" t="s">
        <v>1999</v>
      </c>
      <c r="I1836" s="20" t="s">
        <v>2000</v>
      </c>
      <c r="J1836" s="20" t="s">
        <v>2001</v>
      </c>
      <c r="K1836" s="20" t="str">
        <f>VLOOKUP(H1836,[1]媒体表!C:T,18,0)</f>
        <v>北京多彩</v>
      </c>
      <c r="L1836" s="20" t="s">
        <v>2372</v>
      </c>
      <c r="M1836" s="47"/>
      <c r="N1836" s="20" t="s">
        <v>42</v>
      </c>
      <c r="O1836" s="20" t="s">
        <v>82</v>
      </c>
      <c r="P1836" s="47">
        <v>0</v>
      </c>
      <c r="Q1836" s="48" t="s">
        <v>2373</v>
      </c>
      <c r="R1836" s="40"/>
      <c r="S1836" s="34">
        <v>80680.2</v>
      </c>
      <c r="T1836" s="34"/>
      <c r="U1836" s="32">
        <v>36947.3</v>
      </c>
      <c r="V1836" s="32">
        <f t="shared" si="211"/>
        <v>43732.9</v>
      </c>
      <c r="W1836" s="32">
        <f t="shared" si="212"/>
        <v>36947.3</v>
      </c>
      <c r="X1836" s="32"/>
      <c r="Y1836" s="32">
        <f t="shared" ref="Y1836:Y1899" si="213">W1836+X1836</f>
        <v>36947.3</v>
      </c>
      <c r="Z1836" s="32">
        <f t="shared" si="207"/>
        <v>0</v>
      </c>
      <c r="AA1836" s="34">
        <v>22656.3548672942</v>
      </c>
      <c r="AB1836" s="24">
        <v>0.065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ht="14.25" spans="1:34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1999</v>
      </c>
      <c r="I1837" s="20" t="s">
        <v>2000</v>
      </c>
      <c r="J1837" s="20" t="s">
        <v>2001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2374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ht="14.25" spans="1:34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1999</v>
      </c>
      <c r="I1838" s="20" t="s">
        <v>2000</v>
      </c>
      <c r="J1838" s="20" t="s">
        <v>2001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2374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ht="14.25" spans="1:34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2375</v>
      </c>
      <c r="F1839" s="20" t="s">
        <v>2376</v>
      </c>
      <c r="G1839" s="20" t="s">
        <v>2375</v>
      </c>
      <c r="H1839" s="20" t="s">
        <v>1999</v>
      </c>
      <c r="I1839" s="20" t="s">
        <v>2000</v>
      </c>
      <c r="J1839" s="20" t="s">
        <v>2001</v>
      </c>
      <c r="K1839" s="20" t="str">
        <f>VLOOKUP(H1839,[1]媒体表!C:T,18,0)</f>
        <v>北京多彩</v>
      </c>
      <c r="L1839" s="20" t="s">
        <v>2375</v>
      </c>
      <c r="M1839" s="47"/>
      <c r="N1839" s="20" t="s">
        <v>42</v>
      </c>
      <c r="O1839" s="20" t="s">
        <v>43</v>
      </c>
      <c r="P1839" s="47">
        <v>0.02</v>
      </c>
      <c r="Q1839" s="48" t="s">
        <v>2377</v>
      </c>
      <c r="R1839" s="40"/>
      <c r="S1839" s="34">
        <v>18770.1</v>
      </c>
      <c r="T1839" s="34"/>
      <c r="U1839" s="32">
        <v>0</v>
      </c>
      <c r="V1839" s="32">
        <f t="shared" si="211"/>
        <v>18770.1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0.065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ht="14.25" spans="1:34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1999</v>
      </c>
      <c r="I1840" s="20" t="s">
        <v>2000</v>
      </c>
      <c r="J1840" s="20" t="s">
        <v>2001</v>
      </c>
      <c r="K1840" s="20" t="str">
        <f>VLOOKUP(H1840,[1]媒体表!C:T,18,0)</f>
        <v>北京多彩</v>
      </c>
      <c r="L1840" s="20" t="s">
        <v>2378</v>
      </c>
      <c r="M1840" s="47"/>
      <c r="N1840" s="20" t="s">
        <v>42</v>
      </c>
      <c r="O1840" s="20" t="s">
        <v>43</v>
      </c>
      <c r="P1840" s="47">
        <v>0.02</v>
      </c>
      <c r="Q1840" s="48" t="s">
        <v>2379</v>
      </c>
      <c r="R1840" s="40"/>
      <c r="S1840" s="34">
        <v>22095.81</v>
      </c>
      <c r="T1840" s="34">
        <v>-21397</v>
      </c>
      <c r="U1840" s="49">
        <v>698.810000000001</v>
      </c>
      <c r="V1840" s="32">
        <f t="shared" si="211"/>
        <v>0</v>
      </c>
      <c r="W1840" s="32">
        <f t="shared" si="212"/>
        <v>685.107843137256</v>
      </c>
      <c r="X1840" s="32"/>
      <c r="Y1840" s="32">
        <f t="shared" si="213"/>
        <v>685.107843137256</v>
      </c>
      <c r="Z1840" s="32">
        <f t="shared" si="207"/>
        <v>13.7021568627451</v>
      </c>
      <c r="AA1840" s="34">
        <v>293329.132585774</v>
      </c>
      <c r="AB1840" s="24">
        <v>0.065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ht="14.25" spans="1:34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1999</v>
      </c>
      <c r="I1841" s="20" t="s">
        <v>2000</v>
      </c>
      <c r="J1841" s="20" t="s">
        <v>2001</v>
      </c>
      <c r="K1841" s="20" t="str">
        <f>VLOOKUP(H1841,[1]媒体表!C:T,18,0)</f>
        <v>北京多彩</v>
      </c>
      <c r="L1841" s="20" t="s">
        <v>2378</v>
      </c>
      <c r="M1841" s="47"/>
      <c r="N1841" s="20" t="s">
        <v>42</v>
      </c>
      <c r="O1841" s="20" t="s">
        <v>43</v>
      </c>
      <c r="P1841" s="47">
        <v>0.04</v>
      </c>
      <c r="Q1841" s="48" t="s">
        <v>2379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</v>
      </c>
      <c r="W1841" s="32">
        <f t="shared" si="212"/>
        <v>459282.201923077</v>
      </c>
      <c r="X1841" s="32"/>
      <c r="Y1841" s="32">
        <f t="shared" si="213"/>
        <v>459282.201923077</v>
      </c>
      <c r="Z1841" s="32">
        <f t="shared" si="207"/>
        <v>18371.2880769231</v>
      </c>
      <c r="AA1841" s="34">
        <v>0</v>
      </c>
      <c r="AB1841" s="24">
        <v>0.065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ht="14.25" spans="1:34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2380</v>
      </c>
      <c r="F1842" s="20" t="s">
        <v>2380</v>
      </c>
      <c r="G1842" s="20" t="s">
        <v>2380</v>
      </c>
      <c r="H1842" s="20" t="s">
        <v>1999</v>
      </c>
      <c r="I1842" s="20" t="s">
        <v>2000</v>
      </c>
      <c r="J1842" s="20" t="s">
        <v>2001</v>
      </c>
      <c r="K1842" s="20" t="str">
        <f>VLOOKUP(H1842,[1]媒体表!C:T,18,0)</f>
        <v>北京多彩</v>
      </c>
      <c r="L1842" s="20" t="s">
        <v>2380</v>
      </c>
      <c r="M1842" s="47"/>
      <c r="N1842" s="20" t="s">
        <v>42</v>
      </c>
      <c r="O1842" s="20" t="s">
        <v>43</v>
      </c>
      <c r="P1842" s="47">
        <v>0.02</v>
      </c>
      <c r="Q1842" s="48" t="s">
        <v>2381</v>
      </c>
      <c r="R1842" s="40"/>
      <c r="S1842" s="34">
        <v>17534.9</v>
      </c>
      <c r="T1842" s="34">
        <v>35000</v>
      </c>
      <c r="U1842" s="32">
        <v>48897.5</v>
      </c>
      <c r="V1842" s="32">
        <f t="shared" si="211"/>
        <v>3637.4</v>
      </c>
      <c r="W1842" s="32">
        <f t="shared" si="212"/>
        <v>47938.7254901961</v>
      </c>
      <c r="X1842" s="32"/>
      <c r="Y1842" s="32">
        <f t="shared" si="213"/>
        <v>47938.7254901961</v>
      </c>
      <c r="Z1842" s="32">
        <f t="shared" si="207"/>
        <v>958.774509803923</v>
      </c>
      <c r="AA1842" s="34">
        <v>29984.3049999192</v>
      </c>
      <c r="AB1842" s="24">
        <v>0.065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ht="14.25" spans="1:34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2382</v>
      </c>
      <c r="F1843" s="20" t="s">
        <v>2382</v>
      </c>
      <c r="G1843" s="20" t="s">
        <v>2382</v>
      </c>
      <c r="H1843" s="20" t="s">
        <v>1999</v>
      </c>
      <c r="I1843" s="20" t="s">
        <v>2000</v>
      </c>
      <c r="J1843" s="20" t="s">
        <v>2001</v>
      </c>
      <c r="K1843" s="20" t="str">
        <f>VLOOKUP(H1843,[1]媒体表!C:T,18,0)</f>
        <v>北京多彩</v>
      </c>
      <c r="L1843" s="20" t="s">
        <v>2382</v>
      </c>
      <c r="M1843" s="47"/>
      <c r="N1843" s="20" t="s">
        <v>59</v>
      </c>
      <c r="O1843" s="20" t="s">
        <v>82</v>
      </c>
      <c r="P1843" s="47">
        <v>0</v>
      </c>
      <c r="Q1843" s="48" t="s">
        <v>2383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ht="14.25" spans="1:34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2384</v>
      </c>
      <c r="F1844" s="20" t="s">
        <v>2384</v>
      </c>
      <c r="G1844" s="20" t="s">
        <v>2384</v>
      </c>
      <c r="H1844" s="20" t="s">
        <v>1999</v>
      </c>
      <c r="I1844" s="20" t="s">
        <v>2000</v>
      </c>
      <c r="J1844" s="20" t="s">
        <v>2001</v>
      </c>
      <c r="K1844" s="20" t="str">
        <f>VLOOKUP(H1844,[1]媒体表!C:T,18,0)</f>
        <v>北京多彩</v>
      </c>
      <c r="L1844" s="20" t="s">
        <v>2384</v>
      </c>
      <c r="M1844" s="47"/>
      <c r="N1844" s="20" t="s">
        <v>42</v>
      </c>
      <c r="O1844" s="20" t="s">
        <v>43</v>
      </c>
      <c r="P1844" s="47">
        <v>0.02</v>
      </c>
      <c r="Q1844" s="48" t="s">
        <v>2385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</v>
      </c>
      <c r="X1844" s="32"/>
      <c r="Y1844" s="32">
        <f t="shared" si="213"/>
        <v>3942.13725490196</v>
      </c>
      <c r="Z1844" s="32">
        <f t="shared" si="207"/>
        <v>78.8427450980394</v>
      </c>
      <c r="AA1844" s="34">
        <v>5712.33280283752</v>
      </c>
      <c r="AB1844" s="24">
        <v>0.065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ht="14.25" spans="1:34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2384</v>
      </c>
      <c r="F1845" s="20" t="s">
        <v>2384</v>
      </c>
      <c r="G1845" s="20" t="s">
        <v>2384</v>
      </c>
      <c r="H1845" s="20" t="s">
        <v>1999</v>
      </c>
      <c r="I1845" s="20" t="s">
        <v>2000</v>
      </c>
      <c r="J1845" s="20" t="s">
        <v>2001</v>
      </c>
      <c r="K1845" s="20" t="str">
        <f>VLOOKUP(H1845,[1]媒体表!C:T,18,0)</f>
        <v>北京多彩</v>
      </c>
      <c r="L1845" s="20" t="s">
        <v>2384</v>
      </c>
      <c r="M1845" s="47"/>
      <c r="N1845" s="20" t="s">
        <v>42</v>
      </c>
      <c r="O1845" s="20" t="s">
        <v>82</v>
      </c>
      <c r="P1845" s="47">
        <v>0</v>
      </c>
      <c r="Q1845" s="48" t="s">
        <v>2385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0.065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ht="14.25" spans="1:34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2386</v>
      </c>
      <c r="F1846" s="20" t="s">
        <v>2386</v>
      </c>
      <c r="G1846" s="20" t="s">
        <v>2386</v>
      </c>
      <c r="H1846" s="20" t="s">
        <v>1999</v>
      </c>
      <c r="I1846" s="20" t="s">
        <v>2000</v>
      </c>
      <c r="J1846" s="20" t="s">
        <v>2001</v>
      </c>
      <c r="K1846" s="20" t="str">
        <f>VLOOKUP(H1846,[1]媒体表!C:T,18,0)</f>
        <v>北京多彩</v>
      </c>
      <c r="L1846" s="20" t="s">
        <v>2386</v>
      </c>
      <c r="M1846" s="47"/>
      <c r="N1846" s="20" t="s">
        <v>42</v>
      </c>
      <c r="O1846" s="20" t="s">
        <v>43</v>
      </c>
      <c r="P1846" s="47">
        <v>0.03</v>
      </c>
      <c r="Q1846" s="48" t="s">
        <v>2387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0.065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ht="14.25" spans="1:34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2388</v>
      </c>
      <c r="F1847" s="20" t="s">
        <v>2388</v>
      </c>
      <c r="G1847" s="20" t="s">
        <v>2388</v>
      </c>
      <c r="H1847" s="20" t="s">
        <v>1999</v>
      </c>
      <c r="I1847" s="20" t="s">
        <v>2000</v>
      </c>
      <c r="J1847" s="20" t="s">
        <v>2001</v>
      </c>
      <c r="K1847" s="20" t="str">
        <f>VLOOKUP(H1847,[1]媒体表!C:T,18,0)</f>
        <v>北京多彩</v>
      </c>
      <c r="L1847" s="20" t="s">
        <v>2388</v>
      </c>
      <c r="M1847" s="47"/>
      <c r="N1847" s="20" t="s">
        <v>59</v>
      </c>
      <c r="O1847" s="20" t="s">
        <v>82</v>
      </c>
      <c r="P1847" s="47">
        <v>0</v>
      </c>
      <c r="Q1847" s="48" t="s">
        <v>2389</v>
      </c>
      <c r="R1847" s="40"/>
      <c r="S1847" s="34">
        <v>67.99</v>
      </c>
      <c r="T1847" s="34"/>
      <c r="U1847" s="32">
        <v>0</v>
      </c>
      <c r="V1847" s="32">
        <f t="shared" si="211"/>
        <v>67.99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ht="14.25" spans="1:34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2390</v>
      </c>
      <c r="F1848" s="20" t="s">
        <v>2390</v>
      </c>
      <c r="G1848" s="20" t="s">
        <v>2390</v>
      </c>
      <c r="H1848" s="20" t="s">
        <v>1999</v>
      </c>
      <c r="I1848" s="20" t="s">
        <v>2000</v>
      </c>
      <c r="J1848" s="20" t="s">
        <v>2001</v>
      </c>
      <c r="K1848" s="20" t="str">
        <f>VLOOKUP(H1848,[1]媒体表!C:T,18,0)</f>
        <v>北京多彩</v>
      </c>
      <c r="L1848" s="20" t="s">
        <v>2390</v>
      </c>
      <c r="M1848" s="47"/>
      <c r="N1848" s="20" t="s">
        <v>59</v>
      </c>
      <c r="O1848" s="20" t="s">
        <v>43</v>
      </c>
      <c r="P1848" s="47">
        <v>0.1</v>
      </c>
      <c r="Q1848" s="48" t="s">
        <v>2391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ht="14.25" spans="1:34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2392</v>
      </c>
      <c r="F1849" s="20" t="s">
        <v>2392</v>
      </c>
      <c r="G1849" s="20" t="s">
        <v>2392</v>
      </c>
      <c r="H1849" s="20" t="s">
        <v>1999</v>
      </c>
      <c r="I1849" s="20" t="s">
        <v>2000</v>
      </c>
      <c r="J1849" s="20" t="s">
        <v>2001</v>
      </c>
      <c r="K1849" s="20" t="str">
        <f>VLOOKUP(H1849,[1]媒体表!C:T,18,0)</f>
        <v>北京多彩</v>
      </c>
      <c r="L1849" s="20" t="s">
        <v>2393</v>
      </c>
      <c r="M1849" s="47"/>
      <c r="N1849" s="20" t="s">
        <v>42</v>
      </c>
      <c r="O1849" s="20" t="s">
        <v>43</v>
      </c>
      <c r="P1849" s="47">
        <v>0.02</v>
      </c>
      <c r="Q1849" s="48" t="s">
        <v>2394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12401.7</v>
      </c>
      <c r="W1849" s="32">
        <f t="shared" si="212"/>
        <v>33726.9607843137</v>
      </c>
      <c r="X1849" s="32"/>
      <c r="Y1849" s="32">
        <f t="shared" si="213"/>
        <v>33726.9607843137</v>
      </c>
      <c r="Z1849" s="32">
        <f t="shared" si="207"/>
        <v>674.539215686273</v>
      </c>
      <c r="AA1849" s="34">
        <v>21095.2516683823</v>
      </c>
      <c r="AB1849" s="24">
        <v>0.065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ht="14.25" spans="1:34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2392</v>
      </c>
      <c r="F1850" s="20" t="s">
        <v>2392</v>
      </c>
      <c r="G1850" s="20" t="s">
        <v>2392</v>
      </c>
      <c r="H1850" s="20" t="s">
        <v>1999</v>
      </c>
      <c r="I1850" s="20" t="s">
        <v>2000</v>
      </c>
      <c r="J1850" s="20" t="s">
        <v>2001</v>
      </c>
      <c r="K1850" s="20" t="str">
        <f>VLOOKUP(H1850,[1]媒体表!C:T,18,0)</f>
        <v>北京多彩</v>
      </c>
      <c r="L1850" s="20" t="s">
        <v>2395</v>
      </c>
      <c r="M1850" s="47"/>
      <c r="N1850" s="20" t="s">
        <v>42</v>
      </c>
      <c r="O1850" s="20" t="s">
        <v>43</v>
      </c>
      <c r="P1850" s="47">
        <v>0.02</v>
      </c>
      <c r="Q1850" s="48" t="s">
        <v>2396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11245.4</v>
      </c>
      <c r="W1850" s="32">
        <f t="shared" si="212"/>
        <v>46023.3333333333</v>
      </c>
      <c r="X1850" s="32"/>
      <c r="Y1850" s="32">
        <f t="shared" si="213"/>
        <v>46023.3333333333</v>
      </c>
      <c r="Z1850" s="32">
        <f t="shared" ref="Z1850:Z1913" si="214">U1850-W1850</f>
        <v>920.466666666667</v>
      </c>
      <c r="AA1850" s="34">
        <v>28786.2818560296</v>
      </c>
      <c r="AB1850" s="24">
        <v>0.065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ht="14.25" spans="1:34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2392</v>
      </c>
      <c r="F1851" s="20" t="s">
        <v>2392</v>
      </c>
      <c r="G1851" s="20" t="s">
        <v>2392</v>
      </c>
      <c r="H1851" s="20" t="s">
        <v>1999</v>
      </c>
      <c r="I1851" s="20" t="s">
        <v>2000</v>
      </c>
      <c r="J1851" s="20" t="s">
        <v>2001</v>
      </c>
      <c r="K1851" s="20" t="str">
        <f>VLOOKUP(H1851,[1]媒体表!C:T,18,0)</f>
        <v>北京多彩</v>
      </c>
      <c r="L1851" s="20" t="s">
        <v>2397</v>
      </c>
      <c r="M1851" s="47"/>
      <c r="N1851" s="20" t="s">
        <v>42</v>
      </c>
      <c r="O1851" s="20" t="s">
        <v>43</v>
      </c>
      <c r="P1851" s="47">
        <v>0.02</v>
      </c>
      <c r="Q1851" s="48" t="s">
        <v>2398</v>
      </c>
      <c r="R1851" s="40"/>
      <c r="S1851" s="34">
        <v>5132.8</v>
      </c>
      <c r="T1851" s="34">
        <v>20000</v>
      </c>
      <c r="U1851" s="32">
        <v>9644.2</v>
      </c>
      <c r="V1851" s="32">
        <f t="shared" si="211"/>
        <v>15488.6</v>
      </c>
      <c r="W1851" s="32">
        <f t="shared" si="212"/>
        <v>9455.09803921569</v>
      </c>
      <c r="X1851" s="32"/>
      <c r="Y1851" s="32">
        <f t="shared" si="213"/>
        <v>9455.09803921569</v>
      </c>
      <c r="Z1851" s="32">
        <f t="shared" si="214"/>
        <v>189.101960784314</v>
      </c>
      <c r="AA1851" s="34">
        <v>5913.89404939355</v>
      </c>
      <c r="AB1851" s="24">
        <v>0.065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ht="14.25" spans="1:34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2392</v>
      </c>
      <c r="F1852" s="20" t="s">
        <v>2392</v>
      </c>
      <c r="G1852" s="20" t="s">
        <v>2392</v>
      </c>
      <c r="H1852" s="20" t="s">
        <v>1999</v>
      </c>
      <c r="I1852" s="20" t="s">
        <v>2000</v>
      </c>
      <c r="J1852" s="20" t="s">
        <v>2001</v>
      </c>
      <c r="K1852" s="20" t="str">
        <f>VLOOKUP(H1852,[1]媒体表!C:T,18,0)</f>
        <v>北京多彩</v>
      </c>
      <c r="L1852" s="20" t="s">
        <v>2399</v>
      </c>
      <c r="M1852" s="47"/>
      <c r="N1852" s="20" t="s">
        <v>42</v>
      </c>
      <c r="O1852" s="20" t="s">
        <v>43</v>
      </c>
      <c r="P1852" s="47">
        <v>0.02</v>
      </c>
      <c r="Q1852" s="48" t="s">
        <v>2400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26800.1</v>
      </c>
      <c r="W1852" s="32">
        <f t="shared" si="212"/>
        <v>83255.9803921569</v>
      </c>
      <c r="X1852" s="32"/>
      <c r="Y1852" s="32">
        <f t="shared" si="213"/>
        <v>83255.9803921569</v>
      </c>
      <c r="Z1852" s="32">
        <f t="shared" si="214"/>
        <v>1665.11960784314</v>
      </c>
      <c r="AA1852" s="34">
        <v>52074.2402644029</v>
      </c>
      <c r="AB1852" s="24">
        <v>0.065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ht="14.25" spans="1:34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1999</v>
      </c>
      <c r="I1853" s="20" t="s">
        <v>2000</v>
      </c>
      <c r="J1853" s="20" t="s">
        <v>2001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0.07</v>
      </c>
      <c r="Q1853" s="48" t="s">
        <v>2401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ht="14.25" spans="1:34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2402</v>
      </c>
      <c r="F1854" s="20" t="s">
        <v>2402</v>
      </c>
      <c r="G1854" s="20" t="s">
        <v>2402</v>
      </c>
      <c r="H1854" s="20" t="s">
        <v>1999</v>
      </c>
      <c r="I1854" s="20" t="s">
        <v>2000</v>
      </c>
      <c r="J1854" s="20" t="s">
        <v>2001</v>
      </c>
      <c r="K1854" s="20" t="str">
        <f>VLOOKUP(H1854,[1]媒体表!C:T,18,0)</f>
        <v>北京多彩</v>
      </c>
      <c r="L1854" s="20" t="s">
        <v>2402</v>
      </c>
      <c r="M1854" s="47"/>
      <c r="N1854" s="20" t="s">
        <v>59</v>
      </c>
      <c r="O1854" s="20" t="s">
        <v>82</v>
      </c>
      <c r="P1854" s="47">
        <v>0</v>
      </c>
      <c r="Q1854" s="48" t="s">
        <v>2403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ht="14.25" spans="1:34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2402</v>
      </c>
      <c r="F1855" s="20" t="s">
        <v>2402</v>
      </c>
      <c r="G1855" s="20" t="s">
        <v>2402</v>
      </c>
      <c r="H1855" s="20" t="s">
        <v>1999</v>
      </c>
      <c r="I1855" s="20" t="s">
        <v>2000</v>
      </c>
      <c r="J1855" s="20" t="s">
        <v>2001</v>
      </c>
      <c r="K1855" s="20" t="str">
        <f>VLOOKUP(H1855,[1]媒体表!C:T,18,0)</f>
        <v>北京多彩</v>
      </c>
      <c r="L1855" s="20" t="s">
        <v>2402</v>
      </c>
      <c r="M1855" s="47"/>
      <c r="N1855" s="20" t="s">
        <v>42</v>
      </c>
      <c r="O1855" s="20" t="s">
        <v>82</v>
      </c>
      <c r="P1855" s="47">
        <v>0</v>
      </c>
      <c r="Q1855" s="48" t="s">
        <v>2404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370445.41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</v>
      </c>
      <c r="AB1855" s="24">
        <v>0.065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ht="14.25" spans="1:34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2405</v>
      </c>
      <c r="F1856" s="20" t="s">
        <v>2406</v>
      </c>
      <c r="G1856" s="20" t="s">
        <v>2405</v>
      </c>
      <c r="H1856" s="20" t="s">
        <v>1999</v>
      </c>
      <c r="I1856" s="20" t="s">
        <v>2000</v>
      </c>
      <c r="J1856" s="20" t="s">
        <v>2001</v>
      </c>
      <c r="K1856" s="20" t="str">
        <f>VLOOKUP(H1856,[1]媒体表!C:T,18,0)</f>
        <v>北京多彩</v>
      </c>
      <c r="L1856" s="20" t="s">
        <v>2405</v>
      </c>
      <c r="M1856" s="47"/>
      <c r="N1856" s="20" t="s">
        <v>42</v>
      </c>
      <c r="O1856" s="20" t="s">
        <v>43</v>
      </c>
      <c r="P1856" s="47">
        <v>0.02</v>
      </c>
      <c r="Q1856" s="48" t="s">
        <v>2407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</v>
      </c>
      <c r="X1856" s="32"/>
      <c r="Y1856" s="32">
        <f t="shared" si="213"/>
        <v>1361.76470588235</v>
      </c>
      <c r="Z1856" s="32">
        <f t="shared" si="214"/>
        <v>27.2352941176471</v>
      </c>
      <c r="AA1856" s="34">
        <v>851.744969474673</v>
      </c>
      <c r="AB1856" s="24">
        <v>0.065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ht="14.25" spans="1:34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2405</v>
      </c>
      <c r="F1857" s="20" t="s">
        <v>2406</v>
      </c>
      <c r="G1857" s="20" t="s">
        <v>2405</v>
      </c>
      <c r="H1857" s="20" t="s">
        <v>1999</v>
      </c>
      <c r="I1857" s="20" t="s">
        <v>2000</v>
      </c>
      <c r="J1857" s="20" t="s">
        <v>2001</v>
      </c>
      <c r="K1857" s="20" t="str">
        <f>VLOOKUP(H1857,[1]媒体表!C:T,18,0)</f>
        <v>北京多彩</v>
      </c>
      <c r="L1857" s="20" t="s">
        <v>2405</v>
      </c>
      <c r="M1857" s="47"/>
      <c r="N1857" s="20" t="s">
        <v>42</v>
      </c>
      <c r="O1857" s="20" t="s">
        <v>82</v>
      </c>
      <c r="P1857" s="47">
        <v>0</v>
      </c>
      <c r="Q1857" s="48" t="s">
        <v>2407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0.065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ht="14.25" spans="1:34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1999</v>
      </c>
      <c r="I1858" s="20" t="s">
        <v>2000</v>
      </c>
      <c r="J1858" s="20" t="s">
        <v>2001</v>
      </c>
      <c r="K1858" s="20" t="str">
        <f>VLOOKUP(H1858,[1]媒体表!C:T,18,0)</f>
        <v>北京多彩</v>
      </c>
      <c r="L1858" s="20" t="s">
        <v>2408</v>
      </c>
      <c r="M1858" s="47"/>
      <c r="N1858" s="20" t="s">
        <v>42</v>
      </c>
      <c r="O1858" s="20" t="s">
        <v>43</v>
      </c>
      <c r="P1858" s="47">
        <v>0.02</v>
      </c>
      <c r="Q1858" s="48" t="s">
        <v>2409</v>
      </c>
      <c r="R1858" s="40"/>
      <c r="S1858" s="34">
        <v>20646.94</v>
      </c>
      <c r="T1858" s="34"/>
      <c r="U1858" s="34">
        <v>20646.94</v>
      </c>
      <c r="V1858" s="32">
        <f t="shared" si="211"/>
        <v>0</v>
      </c>
      <c r="W1858" s="32">
        <f t="shared" si="212"/>
        <v>20242.0980392157</v>
      </c>
      <c r="X1858" s="32"/>
      <c r="Y1858" s="32">
        <f t="shared" si="213"/>
        <v>20242.0980392157</v>
      </c>
      <c r="Z1858" s="32">
        <f t="shared" si="214"/>
        <v>404.841960784313</v>
      </c>
      <c r="AA1858" s="34">
        <v>0</v>
      </c>
      <c r="AB1858" s="24">
        <v>0.065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ht="14.25" spans="1:34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1999</v>
      </c>
      <c r="I1859" s="20" t="s">
        <v>2000</v>
      </c>
      <c r="J1859" s="20" t="s">
        <v>2001</v>
      </c>
      <c r="K1859" s="20" t="str">
        <f>VLOOKUP(H1859,[1]媒体表!C:T,18,0)</f>
        <v>北京多彩</v>
      </c>
      <c r="L1859" s="20" t="s">
        <v>2408</v>
      </c>
      <c r="M1859" s="47"/>
      <c r="N1859" s="20" t="s">
        <v>42</v>
      </c>
      <c r="O1859" s="20" t="s">
        <v>82</v>
      </c>
      <c r="P1859" s="47">
        <v>0</v>
      </c>
      <c r="Q1859" s="48" t="s">
        <v>2409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45727.9246760791</v>
      </c>
      <c r="AB1859" s="24">
        <v>0.065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ht="14.25" spans="1:34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1999</v>
      </c>
      <c r="I1860" s="20" t="s">
        <v>2000</v>
      </c>
      <c r="J1860" s="20" t="s">
        <v>2001</v>
      </c>
      <c r="K1860" s="20" t="str">
        <f>VLOOKUP(H1860,[1]媒体表!C:T,18,0)</f>
        <v>北京多彩</v>
      </c>
      <c r="L1860" s="20" t="s">
        <v>2410</v>
      </c>
      <c r="M1860" s="47"/>
      <c r="N1860" s="20" t="s">
        <v>42</v>
      </c>
      <c r="O1860" s="20" t="s">
        <v>43</v>
      </c>
      <c r="P1860" s="47">
        <v>0.02</v>
      </c>
      <c r="Q1860" s="48" t="s">
        <v>2411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51283.8235294118</v>
      </c>
      <c r="X1860" s="32"/>
      <c r="Y1860" s="32">
        <f t="shared" si="213"/>
        <v>51283.8235294118</v>
      </c>
      <c r="Z1860" s="32">
        <f t="shared" si="214"/>
        <v>1025.67647058824</v>
      </c>
      <c r="AA1860" s="34">
        <v>0</v>
      </c>
      <c r="AB1860" s="24">
        <v>0.065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ht="14.25" spans="1:34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1999</v>
      </c>
      <c r="I1861" s="20" t="s">
        <v>2000</v>
      </c>
      <c r="J1861" s="20" t="s">
        <v>2001</v>
      </c>
      <c r="K1861" s="20" t="str">
        <f>VLOOKUP(H1861,[1]媒体表!C:T,18,0)</f>
        <v>北京多彩</v>
      </c>
      <c r="L1861" s="20" t="s">
        <v>2410</v>
      </c>
      <c r="M1861" s="47"/>
      <c r="N1861" s="20" t="s">
        <v>42</v>
      </c>
      <c r="O1861" s="20" t="s">
        <v>82</v>
      </c>
      <c r="P1861" s="47">
        <v>0</v>
      </c>
      <c r="Q1861" s="48" t="s">
        <v>2411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</v>
      </c>
      <c r="AB1861" s="24">
        <v>0.065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ht="14.25" spans="1:34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1999</v>
      </c>
      <c r="I1862" s="20" t="s">
        <v>2000</v>
      </c>
      <c r="J1862" s="20" t="s">
        <v>2001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2412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27112.5904761905</v>
      </c>
      <c r="X1862" s="32"/>
      <c r="Y1862" s="32">
        <f t="shared" si="213"/>
        <v>27112.5904761905</v>
      </c>
      <c r="Z1862" s="32">
        <f t="shared" si="214"/>
        <v>1355.62952380953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ht="14.25" spans="1:34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1999</v>
      </c>
      <c r="I1863" s="20" t="s">
        <v>2000</v>
      </c>
      <c r="J1863" s="20" t="s">
        <v>2001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2412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</v>
      </c>
      <c r="X1863" s="32"/>
      <c r="Y1863" s="32">
        <f t="shared" si="213"/>
        <v>311018.245098038</v>
      </c>
      <c r="Z1863" s="32">
        <f t="shared" si="214"/>
        <v>6220.36490196077</v>
      </c>
      <c r="AA1863" s="34">
        <v>0</v>
      </c>
      <c r="AB1863" s="24">
        <v>0.065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ht="14.25" spans="1:34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1999</v>
      </c>
      <c r="I1864" s="20" t="s">
        <v>2000</v>
      </c>
      <c r="J1864" s="20" t="s">
        <v>2001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2412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869608.11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</v>
      </c>
      <c r="AB1864" s="24">
        <v>0.065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ht="14.25" spans="1:34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1999</v>
      </c>
      <c r="I1865" s="20" t="s">
        <v>2000</v>
      </c>
      <c r="J1865" s="20" t="s">
        <v>2001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2413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</v>
      </c>
      <c r="X1865" s="32"/>
      <c r="Y1865" s="32">
        <f t="shared" si="213"/>
        <v>21191.9607843137</v>
      </c>
      <c r="Z1865" s="32">
        <f t="shared" si="214"/>
        <v>423.839215686276</v>
      </c>
      <c r="AA1865" s="34">
        <v>0</v>
      </c>
      <c r="AB1865" s="24">
        <v>0.065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ht="14.25" spans="1:34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1999</v>
      </c>
      <c r="I1866" s="20" t="s">
        <v>2000</v>
      </c>
      <c r="J1866" s="20" t="s">
        <v>2001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2413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</v>
      </c>
      <c r="AB1866" s="24">
        <v>0.065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ht="14.25" spans="1:34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1999</v>
      </c>
      <c r="I1867" s="20" t="s">
        <v>2000</v>
      </c>
      <c r="J1867" s="20" t="s">
        <v>2001</v>
      </c>
      <c r="K1867" s="20" t="str">
        <f>VLOOKUP(H1867,[1]媒体表!C:T,18,0)</f>
        <v>北京多彩</v>
      </c>
      <c r="L1867" s="20" t="s">
        <v>2414</v>
      </c>
      <c r="M1867" s="47"/>
      <c r="N1867" s="20" t="s">
        <v>42</v>
      </c>
      <c r="O1867" s="20" t="s">
        <v>43</v>
      </c>
      <c r="P1867" s="47">
        <v>0.02</v>
      </c>
      <c r="Q1867" s="48" t="s">
        <v>2415</v>
      </c>
      <c r="R1867" s="40"/>
      <c r="S1867" s="34">
        <v>5652.10000000001</v>
      </c>
      <c r="T1867" s="34"/>
      <c r="U1867" s="50">
        <v>5652.10000000001</v>
      </c>
      <c r="V1867" s="32">
        <f t="shared" si="211"/>
        <v>0</v>
      </c>
      <c r="W1867" s="32">
        <f t="shared" si="212"/>
        <v>5541.27450980393</v>
      </c>
      <c r="X1867" s="32"/>
      <c r="Y1867" s="32">
        <f t="shared" si="213"/>
        <v>5541.27450980393</v>
      </c>
      <c r="Z1867" s="32">
        <f t="shared" si="214"/>
        <v>110.825490196079</v>
      </c>
      <c r="AA1867" s="34">
        <v>0</v>
      </c>
      <c r="AB1867" s="24">
        <v>0.065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ht="14.25" spans="1:34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1999</v>
      </c>
      <c r="I1868" s="20" t="s">
        <v>2000</v>
      </c>
      <c r="J1868" s="20" t="s">
        <v>2001</v>
      </c>
      <c r="K1868" s="20" t="str">
        <f>VLOOKUP(H1868,[1]媒体表!C:T,18,0)</f>
        <v>北京多彩</v>
      </c>
      <c r="L1868" s="20" t="s">
        <v>2414</v>
      </c>
      <c r="M1868" s="47"/>
      <c r="N1868" s="20" t="s">
        <v>42</v>
      </c>
      <c r="O1868" s="20" t="s">
        <v>82</v>
      </c>
      <c r="P1868" s="47">
        <v>0</v>
      </c>
      <c r="Q1868" s="48" t="s">
        <v>2415</v>
      </c>
      <c r="R1868" s="40"/>
      <c r="S1868" s="34">
        <v>0</v>
      </c>
      <c r="T1868" s="34">
        <v>50000</v>
      </c>
      <c r="U1868" s="49">
        <v>17211.4</v>
      </c>
      <c r="V1868" s="32">
        <f t="shared" si="211"/>
        <v>32788.6</v>
      </c>
      <c r="W1868" s="32">
        <f t="shared" si="212"/>
        <v>17211.4</v>
      </c>
      <c r="X1868" s="32"/>
      <c r="Y1868" s="32">
        <f t="shared" si="213"/>
        <v>17211.4</v>
      </c>
      <c r="Z1868" s="32">
        <f t="shared" si="214"/>
        <v>0</v>
      </c>
      <c r="AA1868" s="34">
        <v>14020.0655936531</v>
      </c>
      <c r="AB1868" s="24">
        <v>0.065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ht="14.25" spans="1:34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2416</v>
      </c>
      <c r="F1869" s="20" t="s">
        <v>2416</v>
      </c>
      <c r="G1869" s="20" t="s">
        <v>2416</v>
      </c>
      <c r="H1869" s="20" t="s">
        <v>1999</v>
      </c>
      <c r="I1869" s="20" t="s">
        <v>2000</v>
      </c>
      <c r="J1869" s="20" t="s">
        <v>2001</v>
      </c>
      <c r="K1869" s="20" t="str">
        <f>VLOOKUP(H1869,[1]媒体表!C:T,18,0)</f>
        <v>北京多彩</v>
      </c>
      <c r="L1869" s="20" t="s">
        <v>2416</v>
      </c>
      <c r="M1869" s="47"/>
      <c r="N1869" s="20" t="s">
        <v>42</v>
      </c>
      <c r="O1869" s="20" t="s">
        <v>82</v>
      </c>
      <c r="P1869" s="47">
        <v>0</v>
      </c>
      <c r="Q1869" s="48" t="s">
        <v>2417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</v>
      </c>
      <c r="AB1869" s="24">
        <v>0.065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ht="14.25" spans="1:34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2418</v>
      </c>
      <c r="F1870" s="20" t="s">
        <v>2418</v>
      </c>
      <c r="G1870" s="20" t="s">
        <v>2418</v>
      </c>
      <c r="H1870" s="20" t="s">
        <v>1999</v>
      </c>
      <c r="I1870" s="20" t="s">
        <v>2000</v>
      </c>
      <c r="J1870" s="20" t="s">
        <v>2001</v>
      </c>
      <c r="K1870" s="20" t="str">
        <f>VLOOKUP(H1870,[1]媒体表!C:T,18,0)</f>
        <v>北京多彩</v>
      </c>
      <c r="L1870" s="20" t="s">
        <v>2418</v>
      </c>
      <c r="M1870" s="47"/>
      <c r="N1870" s="20" t="s">
        <v>42</v>
      </c>
      <c r="O1870" s="20" t="s">
        <v>43</v>
      </c>
      <c r="P1870" s="47">
        <v>0.04</v>
      </c>
      <c r="Q1870" s="48" t="s">
        <v>2419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105622.211538462</v>
      </c>
      <c r="X1870" s="32"/>
      <c r="Y1870" s="32">
        <f t="shared" si="213"/>
        <v>105622.211538462</v>
      </c>
      <c r="Z1870" s="32">
        <f t="shared" si="214"/>
        <v>4224.88846153846</v>
      </c>
      <c r="AA1870" s="34">
        <v>67359.0459585179</v>
      </c>
      <c r="AB1870" s="24">
        <v>0.065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ht="14.25" spans="1:34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2420</v>
      </c>
      <c r="F1871" s="20" t="s">
        <v>2420</v>
      </c>
      <c r="G1871" s="20" t="s">
        <v>2420</v>
      </c>
      <c r="H1871" s="20" t="s">
        <v>1999</v>
      </c>
      <c r="I1871" s="20" t="s">
        <v>2000</v>
      </c>
      <c r="J1871" s="20" t="s">
        <v>2001</v>
      </c>
      <c r="K1871" s="20" t="str">
        <f>VLOOKUP(H1871,[1]媒体表!C:T,18,0)</f>
        <v>北京多彩</v>
      </c>
      <c r="L1871" s="20" t="s">
        <v>2420</v>
      </c>
      <c r="M1871" s="47"/>
      <c r="N1871" s="20" t="s">
        <v>42</v>
      </c>
      <c r="O1871" s="20" t="s">
        <v>82</v>
      </c>
      <c r="P1871" s="47">
        <v>0</v>
      </c>
      <c r="Q1871" s="48" t="s">
        <v>2421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3076.27716944823</v>
      </c>
      <c r="AB1871" s="24">
        <v>0.065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ht="14.25" spans="1:34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2422</v>
      </c>
      <c r="F1872" s="20" t="s">
        <v>2422</v>
      </c>
      <c r="G1872" s="20" t="s">
        <v>2422</v>
      </c>
      <c r="H1872" s="20" t="s">
        <v>1999</v>
      </c>
      <c r="I1872" s="20" t="s">
        <v>2000</v>
      </c>
      <c r="J1872" s="20" t="s">
        <v>2001</v>
      </c>
      <c r="K1872" s="20" t="str">
        <f>VLOOKUP(H1872,[1]媒体表!C:T,18,0)</f>
        <v>北京多彩</v>
      </c>
      <c r="L1872" s="20" t="s">
        <v>2423</v>
      </c>
      <c r="M1872" s="47"/>
      <c r="N1872" s="20" t="s">
        <v>59</v>
      </c>
      <c r="O1872" s="20" t="s">
        <v>43</v>
      </c>
      <c r="P1872" s="47">
        <v>0.04</v>
      </c>
      <c r="Q1872" s="48" t="s">
        <v>2424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ht="14.25" spans="1:34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2422</v>
      </c>
      <c r="F1873" s="20" t="s">
        <v>2422</v>
      </c>
      <c r="G1873" s="20" t="s">
        <v>2422</v>
      </c>
      <c r="H1873" s="20" t="s">
        <v>1999</v>
      </c>
      <c r="I1873" s="20" t="s">
        <v>2000</v>
      </c>
      <c r="J1873" s="20" t="s">
        <v>2001</v>
      </c>
      <c r="K1873" s="20" t="str">
        <f>VLOOKUP(H1873,[1]媒体表!C:T,18,0)</f>
        <v>北京多彩</v>
      </c>
      <c r="L1873" s="20" t="s">
        <v>2423</v>
      </c>
      <c r="M1873" s="47"/>
      <c r="N1873" s="20" t="s">
        <v>42</v>
      </c>
      <c r="O1873" s="20" t="s">
        <v>43</v>
      </c>
      <c r="P1873" s="47">
        <v>0.02</v>
      </c>
      <c r="Q1873" s="48" t="s">
        <v>2425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0.065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ht="14.25" spans="1:34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1999</v>
      </c>
      <c r="I1874" s="20" t="s">
        <v>2000</v>
      </c>
      <c r="J1874" s="20" t="s">
        <v>2001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43</v>
      </c>
      <c r="P1874" s="47">
        <v>0.02</v>
      </c>
      <c r="Q1874" s="48" t="s">
        <v>2426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3060.88235294118</v>
      </c>
      <c r="X1874" s="32"/>
      <c r="Y1874" s="32">
        <f t="shared" si="213"/>
        <v>3060.88235294118</v>
      </c>
      <c r="Z1874" s="32">
        <f t="shared" si="214"/>
        <v>61.2176470588238</v>
      </c>
      <c r="AA1874" s="34">
        <v>0</v>
      </c>
      <c r="AB1874" s="24">
        <v>0.065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ht="14.25" spans="1:34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1999</v>
      </c>
      <c r="I1875" s="20" t="s">
        <v>2000</v>
      </c>
      <c r="J1875" s="20" t="s">
        <v>2001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2426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0.065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ht="14.25" spans="1:34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2427</v>
      </c>
      <c r="G1876" s="20" t="s">
        <v>997</v>
      </c>
      <c r="H1876" s="20" t="s">
        <v>1999</v>
      </c>
      <c r="I1876" s="20" t="s">
        <v>2000</v>
      </c>
      <c r="J1876" s="20" t="s">
        <v>2001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2428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</v>
      </c>
      <c r="X1876" s="32"/>
      <c r="Y1876" s="32">
        <f t="shared" si="213"/>
        <v>55062.7450980392</v>
      </c>
      <c r="Z1876" s="32">
        <f t="shared" si="214"/>
        <v>1101.25490196078</v>
      </c>
      <c r="AA1876" s="34">
        <v>0</v>
      </c>
      <c r="AB1876" s="24">
        <v>0.065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ht="14.25" spans="1:34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2427</v>
      </c>
      <c r="G1877" s="20" t="s">
        <v>997</v>
      </c>
      <c r="H1877" s="20" t="s">
        <v>1999</v>
      </c>
      <c r="I1877" s="20" t="s">
        <v>2000</v>
      </c>
      <c r="J1877" s="20" t="s">
        <v>2001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2428</v>
      </c>
      <c r="R1877" s="40"/>
      <c r="S1877" s="34">
        <v>0</v>
      </c>
      <c r="T1877" s="34">
        <v>200000</v>
      </c>
      <c r="U1877" s="49">
        <v>134817.6</v>
      </c>
      <c r="V1877" s="32">
        <f t="shared" si="211"/>
        <v>65182.4</v>
      </c>
      <c r="W1877" s="32">
        <f t="shared" si="212"/>
        <v>134817.6</v>
      </c>
      <c r="X1877" s="32"/>
      <c r="Y1877" s="32">
        <f t="shared" si="213"/>
        <v>134817.6</v>
      </c>
      <c r="Z1877" s="32">
        <f t="shared" si="214"/>
        <v>0</v>
      </c>
      <c r="AA1877" s="34">
        <v>117111.315379571</v>
      </c>
      <c r="AB1877" s="24">
        <v>0.065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ht="14.25" spans="1:34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2429</v>
      </c>
      <c r="F1878" s="20" t="s">
        <v>2429</v>
      </c>
      <c r="G1878" s="20" t="s">
        <v>2429</v>
      </c>
      <c r="H1878" s="20" t="s">
        <v>1999</v>
      </c>
      <c r="I1878" s="20" t="s">
        <v>2000</v>
      </c>
      <c r="J1878" s="20" t="s">
        <v>2001</v>
      </c>
      <c r="K1878" s="20" t="str">
        <f>VLOOKUP(H1878,[1]媒体表!C:T,18,0)</f>
        <v>北京多彩</v>
      </c>
      <c r="L1878" s="20" t="s">
        <v>2429</v>
      </c>
      <c r="M1878" s="47"/>
      <c r="N1878" s="20" t="s">
        <v>42</v>
      </c>
      <c r="O1878" s="20" t="s">
        <v>82</v>
      </c>
      <c r="P1878" s="47">
        <v>0</v>
      </c>
      <c r="Q1878" s="48" t="s">
        <v>2430</v>
      </c>
      <c r="R1878" s="40"/>
      <c r="S1878" s="34">
        <v>-1.10000000000002</v>
      </c>
      <c r="T1878" s="34"/>
      <c r="U1878" s="32">
        <v>0</v>
      </c>
      <c r="V1878" s="32">
        <f t="shared" si="211"/>
        <v>-1.10000000000002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0.065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ht="14.25" spans="1:34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2431</v>
      </c>
      <c r="F1879" s="20" t="s">
        <v>2431</v>
      </c>
      <c r="G1879" s="20" t="s">
        <v>2431</v>
      </c>
      <c r="H1879" s="20" t="s">
        <v>1999</v>
      </c>
      <c r="I1879" s="20" t="s">
        <v>2000</v>
      </c>
      <c r="J1879" s="20" t="s">
        <v>2001</v>
      </c>
      <c r="K1879" s="20" t="str">
        <f>VLOOKUP(H1879,[1]媒体表!C:T,18,0)</f>
        <v>北京多彩</v>
      </c>
      <c r="L1879" s="20" t="s">
        <v>2432</v>
      </c>
      <c r="M1879" s="47"/>
      <c r="N1879" s="20" t="s">
        <v>42</v>
      </c>
      <c r="O1879" s="20" t="s">
        <v>43</v>
      </c>
      <c r="P1879" s="47">
        <v>0.02</v>
      </c>
      <c r="Q1879" s="48" t="s">
        <v>2433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0.065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ht="14.25" spans="1:34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2434</v>
      </c>
      <c r="F1880" s="20" t="s">
        <v>2434</v>
      </c>
      <c r="G1880" s="20" t="s">
        <v>2434</v>
      </c>
      <c r="H1880" s="20" t="s">
        <v>1999</v>
      </c>
      <c r="I1880" s="20" t="s">
        <v>2000</v>
      </c>
      <c r="J1880" s="20" t="s">
        <v>2001</v>
      </c>
      <c r="K1880" s="20" t="str">
        <f>VLOOKUP(H1880,[1]媒体表!C:T,18,0)</f>
        <v>北京多彩</v>
      </c>
      <c r="L1880" s="20" t="s">
        <v>2416</v>
      </c>
      <c r="M1880" s="47"/>
      <c r="N1880" s="20" t="s">
        <v>42</v>
      </c>
      <c r="O1880" s="20" t="s">
        <v>43</v>
      </c>
      <c r="P1880" s="47">
        <v>0.01</v>
      </c>
      <c r="Q1880" s="48" t="s">
        <v>2417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669379.564356436</v>
      </c>
      <c r="X1880" s="32"/>
      <c r="Y1880" s="32">
        <f t="shared" si="213"/>
        <v>669379.564356436</v>
      </c>
      <c r="Z1880" s="32">
        <f t="shared" si="214"/>
        <v>6693.79564356431</v>
      </c>
      <c r="AA1880" s="34">
        <v>0</v>
      </c>
      <c r="AB1880" s="24">
        <v>0.065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ht="14.25" spans="1:34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2435</v>
      </c>
      <c r="G1881" s="20" t="s">
        <v>1927</v>
      </c>
      <c r="H1881" s="20" t="s">
        <v>1999</v>
      </c>
      <c r="I1881" s="20" t="s">
        <v>2000</v>
      </c>
      <c r="J1881" s="20" t="s">
        <v>2001</v>
      </c>
      <c r="K1881" s="20" t="str">
        <f>VLOOKUP(H1881,[1]媒体表!C:T,18,0)</f>
        <v>北京多彩</v>
      </c>
      <c r="L1881" s="20" t="s">
        <v>2436</v>
      </c>
      <c r="M1881" s="47"/>
      <c r="N1881" s="20" t="s">
        <v>59</v>
      </c>
      <c r="O1881" s="20" t="s">
        <v>43</v>
      </c>
      <c r="P1881" s="47">
        <v>0.15</v>
      </c>
      <c r="Q1881" s="48" t="s">
        <v>2437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ht="14.25" spans="1:34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1999</v>
      </c>
      <c r="I1882" s="20" t="s">
        <v>2000</v>
      </c>
      <c r="J1882" s="20" t="s">
        <v>2001</v>
      </c>
      <c r="K1882" s="20" t="str">
        <f>VLOOKUP(H1882,[1]媒体表!C:T,18,0)</f>
        <v>北京多彩</v>
      </c>
      <c r="L1882" s="20" t="s">
        <v>1930</v>
      </c>
      <c r="M1882" s="47"/>
      <c r="N1882" s="20" t="s">
        <v>42</v>
      </c>
      <c r="O1882" s="20" t="s">
        <v>43</v>
      </c>
      <c r="P1882" s="47">
        <v>0.02</v>
      </c>
      <c r="Q1882" s="48" t="s">
        <v>2438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</v>
      </c>
      <c r="X1882" s="32"/>
      <c r="Y1882" s="32">
        <f t="shared" si="213"/>
        <v>29127.5784313725</v>
      </c>
      <c r="Z1882" s="32">
        <f t="shared" si="214"/>
        <v>582.551568627452</v>
      </c>
      <c r="AA1882" s="34">
        <v>112334.246383388</v>
      </c>
      <c r="AB1882" s="24">
        <v>0.065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ht="14.25" spans="1:34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1999</v>
      </c>
      <c r="I1883" s="20" t="s">
        <v>2000</v>
      </c>
      <c r="J1883" s="20" t="s">
        <v>2001</v>
      </c>
      <c r="K1883" s="20" t="str">
        <f>VLOOKUP(H1883,[1]媒体表!C:T,18,0)</f>
        <v>北京多彩</v>
      </c>
      <c r="L1883" s="20" t="s">
        <v>1930</v>
      </c>
      <c r="M1883" s="47"/>
      <c r="N1883" s="20" t="s">
        <v>42</v>
      </c>
      <c r="O1883" s="20" t="s">
        <v>43</v>
      </c>
      <c r="P1883" s="47">
        <v>0.04</v>
      </c>
      <c r="Q1883" s="48" t="s">
        <v>2438</v>
      </c>
      <c r="R1883" s="40"/>
      <c r="S1883" s="34">
        <v>0</v>
      </c>
      <c r="T1883" s="34">
        <v>185000</v>
      </c>
      <c r="U1883" s="49">
        <v>153481.17</v>
      </c>
      <c r="V1883" s="32">
        <f t="shared" si="211"/>
        <v>31518.83</v>
      </c>
      <c r="W1883" s="32">
        <f t="shared" si="212"/>
        <v>147578.048076923</v>
      </c>
      <c r="X1883" s="32"/>
      <c r="Y1883" s="32">
        <f t="shared" si="213"/>
        <v>147578.048076923</v>
      </c>
      <c r="Z1883" s="32">
        <f t="shared" si="214"/>
        <v>5903.12192307692</v>
      </c>
      <c r="AA1883" s="34">
        <v>0</v>
      </c>
      <c r="AB1883" s="24">
        <v>0.065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ht="14.25" spans="1:34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1999</v>
      </c>
      <c r="I1884" s="20" t="s">
        <v>2000</v>
      </c>
      <c r="J1884" s="20" t="s">
        <v>2001</v>
      </c>
      <c r="K1884" s="20" t="str">
        <f>VLOOKUP(H1884,[1]媒体表!C:T,18,0)</f>
        <v>北京多彩</v>
      </c>
      <c r="L1884" s="20" t="s">
        <v>2439</v>
      </c>
      <c r="M1884" s="47"/>
      <c r="N1884" s="20" t="s">
        <v>42</v>
      </c>
      <c r="O1884" s="20" t="s">
        <v>43</v>
      </c>
      <c r="P1884" s="47">
        <v>0.02</v>
      </c>
      <c r="Q1884" s="48" t="s">
        <v>2440</v>
      </c>
      <c r="R1884" s="40"/>
      <c r="S1884" s="34">
        <v>40537.7</v>
      </c>
      <c r="T1884" s="34">
        <v>0</v>
      </c>
      <c r="U1884" s="32">
        <v>40537.7</v>
      </c>
      <c r="V1884" s="32">
        <f t="shared" si="211"/>
        <v>0</v>
      </c>
      <c r="W1884" s="32">
        <f t="shared" si="212"/>
        <v>39742.8431372549</v>
      </c>
      <c r="X1884" s="32"/>
      <c r="Y1884" s="32">
        <f t="shared" si="213"/>
        <v>39742.8431372549</v>
      </c>
      <c r="Z1884" s="32">
        <f t="shared" si="214"/>
        <v>794.856862745102</v>
      </c>
      <c r="AA1884" s="34">
        <v>88039.9534398058</v>
      </c>
      <c r="AB1884" s="24">
        <v>0.065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ht="14.25" spans="1:34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1999</v>
      </c>
      <c r="I1885" s="20" t="s">
        <v>2000</v>
      </c>
      <c r="J1885" s="20" t="s">
        <v>2001</v>
      </c>
      <c r="K1885" s="20" t="str">
        <f>VLOOKUP(H1885,[1]媒体表!C:T,18,0)</f>
        <v>北京多彩</v>
      </c>
      <c r="L1885" s="20" t="s">
        <v>2439</v>
      </c>
      <c r="M1885" s="47"/>
      <c r="N1885" s="20" t="s">
        <v>42</v>
      </c>
      <c r="O1885" s="20" t="s">
        <v>43</v>
      </c>
      <c r="P1885" s="47">
        <v>0.04</v>
      </c>
      <c r="Q1885" s="48" t="s">
        <v>2440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</v>
      </c>
      <c r="W1885" s="32">
        <f t="shared" si="212"/>
        <v>99072.3076923077</v>
      </c>
      <c r="X1885" s="32"/>
      <c r="Y1885" s="32">
        <f t="shared" si="213"/>
        <v>99072.3076923077</v>
      </c>
      <c r="Z1885" s="32">
        <f t="shared" si="214"/>
        <v>3962.89230769231</v>
      </c>
      <c r="AA1885" s="34">
        <v>0</v>
      </c>
      <c r="AB1885" s="24">
        <v>0.065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ht="14.25" spans="1:34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1999</v>
      </c>
      <c r="I1886" s="20" t="s">
        <v>2000</v>
      </c>
      <c r="J1886" s="20" t="s">
        <v>2001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2441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24878.4705882353</v>
      </c>
      <c r="X1886" s="32"/>
      <c r="Y1886" s="32">
        <f t="shared" si="213"/>
        <v>24878.4705882353</v>
      </c>
      <c r="Z1886" s="32">
        <f t="shared" si="214"/>
        <v>497.569411764707</v>
      </c>
      <c r="AA1886" s="34">
        <v>70239.709992428</v>
      </c>
      <c r="AB1886" s="24">
        <v>0.065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ht="14.25" spans="1:34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1999</v>
      </c>
      <c r="I1887" s="20" t="s">
        <v>2000</v>
      </c>
      <c r="J1887" s="20" t="s">
        <v>2001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2441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</v>
      </c>
      <c r="W1887" s="32">
        <f t="shared" si="212"/>
        <v>85739.1923076923</v>
      </c>
      <c r="X1887" s="32"/>
      <c r="Y1887" s="32">
        <f t="shared" si="213"/>
        <v>85739.1923076923</v>
      </c>
      <c r="Z1887" s="32">
        <f t="shared" si="214"/>
        <v>3429.5676923077</v>
      </c>
      <c r="AA1887" s="34">
        <v>0</v>
      </c>
      <c r="AB1887" s="24">
        <v>0.065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ht="14.25" spans="1:34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1999</v>
      </c>
      <c r="I1888" s="20" t="s">
        <v>2000</v>
      </c>
      <c r="J1888" s="20" t="s">
        <v>2001</v>
      </c>
      <c r="K1888" s="20" t="str">
        <f>VLOOKUP(H1888,[1]媒体表!C:T,18,0)</f>
        <v>北京多彩</v>
      </c>
      <c r="L1888" s="20" t="s">
        <v>2442</v>
      </c>
      <c r="M1888" s="47"/>
      <c r="N1888" s="20" t="s">
        <v>42</v>
      </c>
      <c r="O1888" s="20" t="s">
        <v>43</v>
      </c>
      <c r="P1888" s="47">
        <v>0.02</v>
      </c>
      <c r="Q1888" s="48" t="s">
        <v>2443</v>
      </c>
      <c r="R1888" s="40"/>
      <c r="S1888" s="34">
        <v>0.600000000000136</v>
      </c>
      <c r="T1888" s="34"/>
      <c r="U1888" s="32">
        <v>0</v>
      </c>
      <c r="V1888" s="32">
        <f t="shared" si="211"/>
        <v>0.600000000000136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0.065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ht="14.25" spans="1:34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1999</v>
      </c>
      <c r="I1889" s="20" t="s">
        <v>2000</v>
      </c>
      <c r="J1889" s="20" t="s">
        <v>2001</v>
      </c>
      <c r="K1889" s="20" t="str">
        <f>VLOOKUP(H1889,[1]媒体表!C:T,18,0)</f>
        <v>北京多彩</v>
      </c>
      <c r="L1889" s="20" t="s">
        <v>2444</v>
      </c>
      <c r="M1889" s="47"/>
      <c r="N1889" s="20" t="s">
        <v>42</v>
      </c>
      <c r="O1889" s="20" t="s">
        <v>43</v>
      </c>
      <c r="P1889" s="47">
        <v>0.02</v>
      </c>
      <c r="Q1889" s="48" t="s">
        <v>2445</v>
      </c>
      <c r="R1889" s="40"/>
      <c r="S1889" s="34">
        <v>0.600000000000364</v>
      </c>
      <c r="T1889" s="34"/>
      <c r="U1889" s="32">
        <v>0</v>
      </c>
      <c r="V1889" s="32">
        <f t="shared" si="211"/>
        <v>0.600000000000364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0.065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ht="14.25" spans="1:34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1999</v>
      </c>
      <c r="I1890" s="20" t="s">
        <v>2000</v>
      </c>
      <c r="J1890" s="20" t="s">
        <v>2001</v>
      </c>
      <c r="K1890" s="20" t="str">
        <f>VLOOKUP(H1890,[1]媒体表!C:T,18,0)</f>
        <v>北京多彩</v>
      </c>
      <c r="L1890" s="20" t="s">
        <v>2446</v>
      </c>
      <c r="M1890" s="47"/>
      <c r="N1890" s="20" t="s">
        <v>42</v>
      </c>
      <c r="O1890" s="20" t="s">
        <v>43</v>
      </c>
      <c r="P1890" s="47">
        <v>0.02</v>
      </c>
      <c r="Q1890" s="48" t="s">
        <v>2447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</v>
      </c>
      <c r="X1890" s="32"/>
      <c r="Y1890" s="32">
        <f t="shared" si="213"/>
        <v>5672.25490196078</v>
      </c>
      <c r="Z1890" s="32">
        <f t="shared" si="214"/>
        <v>113.445098039216</v>
      </c>
      <c r="AA1890" s="34">
        <v>33011.1576592597</v>
      </c>
      <c r="AB1890" s="24">
        <v>0.065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ht="14.25" spans="1:34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1999</v>
      </c>
      <c r="I1891" s="20" t="s">
        <v>2000</v>
      </c>
      <c r="J1891" s="20" t="s">
        <v>2001</v>
      </c>
      <c r="K1891" s="20" t="str">
        <f>VLOOKUP(H1891,[1]媒体表!C:T,18,0)</f>
        <v>北京多彩</v>
      </c>
      <c r="L1891" s="20" t="s">
        <v>2446</v>
      </c>
      <c r="M1891" s="47"/>
      <c r="N1891" s="20" t="s">
        <v>42</v>
      </c>
      <c r="O1891" s="20" t="s">
        <v>43</v>
      </c>
      <c r="P1891" s="47">
        <v>0.04</v>
      </c>
      <c r="Q1891" s="48" t="s">
        <v>2447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13952.1</v>
      </c>
      <c r="W1891" s="32">
        <f t="shared" si="212"/>
        <v>46199.9038461538</v>
      </c>
      <c r="X1891" s="32"/>
      <c r="Y1891" s="32">
        <f t="shared" si="213"/>
        <v>46199.9038461538</v>
      </c>
      <c r="Z1891" s="32">
        <f t="shared" si="214"/>
        <v>1847.99615384616</v>
      </c>
      <c r="AA1891" s="34">
        <v>0</v>
      </c>
      <c r="AB1891" s="24">
        <v>0.065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ht="14.25" spans="1:34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1999</v>
      </c>
      <c r="I1892" s="20" t="s">
        <v>2000</v>
      </c>
      <c r="J1892" s="20" t="s">
        <v>2001</v>
      </c>
      <c r="K1892" s="20" t="str">
        <f>VLOOKUP(H1892,[1]媒体表!C:T,18,0)</f>
        <v>北京多彩</v>
      </c>
      <c r="L1892" s="20" t="s">
        <v>2436</v>
      </c>
      <c r="M1892" s="47"/>
      <c r="N1892" s="20" t="s">
        <v>42</v>
      </c>
      <c r="O1892" s="20" t="s">
        <v>43</v>
      </c>
      <c r="P1892" s="47">
        <v>0.02</v>
      </c>
      <c r="Q1892" s="48" t="s">
        <v>2437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105627.068627451</v>
      </c>
      <c r="X1892" s="32"/>
      <c r="Y1892" s="32">
        <f t="shared" si="213"/>
        <v>105627.068627451</v>
      </c>
      <c r="Z1892" s="32">
        <f t="shared" si="214"/>
        <v>2112.54137254902</v>
      </c>
      <c r="AA1892" s="34">
        <v>281501.037883326</v>
      </c>
      <c r="AB1892" s="24">
        <v>0.065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ht="14.25" spans="1:34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1999</v>
      </c>
      <c r="I1893" s="20" t="s">
        <v>2000</v>
      </c>
      <c r="J1893" s="20" t="s">
        <v>2001</v>
      </c>
      <c r="K1893" s="20" t="str">
        <f>VLOOKUP(H1893,[1]媒体表!C:T,18,0)</f>
        <v>北京多彩</v>
      </c>
      <c r="L1893" s="20" t="s">
        <v>2436</v>
      </c>
      <c r="M1893" s="47"/>
      <c r="N1893" s="20" t="s">
        <v>42</v>
      </c>
      <c r="O1893" s="20" t="s">
        <v>43</v>
      </c>
      <c r="P1893" s="47">
        <v>0.04</v>
      </c>
      <c r="Q1893" s="48" t="s">
        <v>2437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82029.18</v>
      </c>
      <c r="W1893" s="32">
        <f t="shared" si="216"/>
        <v>337563.903846154</v>
      </c>
      <c r="X1893" s="32"/>
      <c r="Y1893" s="32">
        <f t="shared" si="213"/>
        <v>337563.903846154</v>
      </c>
      <c r="Z1893" s="32">
        <f t="shared" si="214"/>
        <v>13502.5561538461</v>
      </c>
      <c r="AA1893" s="34">
        <v>0</v>
      </c>
      <c r="AB1893" s="24">
        <v>0.065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ht="14.25" spans="1:34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1999</v>
      </c>
      <c r="I1894" s="20" t="s">
        <v>2000</v>
      </c>
      <c r="J1894" s="20" t="s">
        <v>2001</v>
      </c>
      <c r="K1894" s="20" t="str">
        <f>VLOOKUP(H1894,[1]媒体表!C:T,18,0)</f>
        <v>北京多彩</v>
      </c>
      <c r="L1894" s="20" t="s">
        <v>2448</v>
      </c>
      <c r="M1894" s="47"/>
      <c r="N1894" s="20" t="s">
        <v>42</v>
      </c>
      <c r="O1894" s="20" t="s">
        <v>43</v>
      </c>
      <c r="P1894" s="47">
        <v>0.02</v>
      </c>
      <c r="Q1894" s="48" t="s">
        <v>2449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18397.9117647059</v>
      </c>
      <c r="X1894" s="32"/>
      <c r="Y1894" s="32">
        <f t="shared" si="213"/>
        <v>18397.9117647059</v>
      </c>
      <c r="Z1894" s="32">
        <f t="shared" si="214"/>
        <v>367.958235294118</v>
      </c>
      <c r="AA1894" s="34">
        <v>46988.6666648052</v>
      </c>
      <c r="AB1894" s="24">
        <v>0.065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ht="14.25" spans="1:34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1999</v>
      </c>
      <c r="I1895" s="20" t="s">
        <v>2000</v>
      </c>
      <c r="J1895" s="20" t="s">
        <v>2001</v>
      </c>
      <c r="K1895" s="20" t="str">
        <f>VLOOKUP(H1895,[1]媒体表!C:T,18,0)</f>
        <v>北京多彩</v>
      </c>
      <c r="L1895" s="20" t="s">
        <v>2448</v>
      </c>
      <c r="M1895" s="47"/>
      <c r="N1895" s="20" t="s">
        <v>42</v>
      </c>
      <c r="O1895" s="20" t="s">
        <v>43</v>
      </c>
      <c r="P1895" s="47">
        <v>0.04</v>
      </c>
      <c r="Q1895" s="48" t="s">
        <v>2449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</v>
      </c>
      <c r="AA1895" s="34">
        <v>0</v>
      </c>
      <c r="AB1895" s="24">
        <v>0.065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ht="14.25" spans="1:34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2450</v>
      </c>
      <c r="G1896" s="20" t="s">
        <v>643</v>
      </c>
      <c r="H1896" s="20" t="s">
        <v>1999</v>
      </c>
      <c r="I1896" s="20" t="s">
        <v>2000</v>
      </c>
      <c r="J1896" s="20" t="s">
        <v>2001</v>
      </c>
      <c r="K1896" s="20" t="str">
        <f>VLOOKUP(H1896,[1]媒体表!C:T,18,0)</f>
        <v>北京多彩</v>
      </c>
      <c r="L1896" s="20" t="s">
        <v>2451</v>
      </c>
      <c r="M1896" s="47"/>
      <c r="N1896" s="20" t="s">
        <v>42</v>
      </c>
      <c r="O1896" s="20" t="s">
        <v>43</v>
      </c>
      <c r="P1896" s="47">
        <v>0.04</v>
      </c>
      <c r="Q1896" s="48" t="s">
        <v>2452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0.065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ht="14.25" spans="1:34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1999</v>
      </c>
      <c r="I1897" s="20" t="s">
        <v>2000</v>
      </c>
      <c r="J1897" s="20" t="s">
        <v>2001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2453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ht="14.25" spans="1:34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1999</v>
      </c>
      <c r="I1898" s="20" t="s">
        <v>2000</v>
      </c>
      <c r="J1898" s="20" t="s">
        <v>2001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2454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435514.372697401</v>
      </c>
      <c r="AB1898" s="24">
        <v>0.065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ht="14.25" spans="1:34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2455</v>
      </c>
      <c r="F1899" s="20" t="s">
        <v>2455</v>
      </c>
      <c r="G1899" s="20" t="s">
        <v>2455</v>
      </c>
      <c r="H1899" s="20" t="s">
        <v>1999</v>
      </c>
      <c r="I1899" s="20" t="s">
        <v>2000</v>
      </c>
      <c r="J1899" s="20" t="s">
        <v>2001</v>
      </c>
      <c r="K1899" s="20" t="str">
        <f>VLOOKUP(H1899,[1]媒体表!C:T,18,0)</f>
        <v>北京多彩</v>
      </c>
      <c r="L1899" s="20" t="s">
        <v>2455</v>
      </c>
      <c r="M1899" s="47"/>
      <c r="N1899" s="20" t="s">
        <v>42</v>
      </c>
      <c r="O1899" s="20" t="s">
        <v>82</v>
      </c>
      <c r="P1899" s="47">
        <v>0</v>
      </c>
      <c r="Q1899" s="48" t="s">
        <v>2456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0.065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ht="14.25" spans="1:34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2457</v>
      </c>
      <c r="F1900" s="20" t="s">
        <v>2457</v>
      </c>
      <c r="G1900" s="20" t="s">
        <v>2457</v>
      </c>
      <c r="H1900" s="20" t="s">
        <v>1999</v>
      </c>
      <c r="I1900" s="20" t="s">
        <v>2000</v>
      </c>
      <c r="J1900" s="20" t="s">
        <v>2001</v>
      </c>
      <c r="K1900" s="20" t="str">
        <f>VLOOKUP(H1900,[1]媒体表!C:T,18,0)</f>
        <v>北京多彩</v>
      </c>
      <c r="L1900" s="20" t="s">
        <v>2457</v>
      </c>
      <c r="M1900" s="47"/>
      <c r="N1900" s="20" t="s">
        <v>42</v>
      </c>
      <c r="O1900" s="20" t="s">
        <v>43</v>
      </c>
      <c r="P1900" s="47">
        <v>0.03</v>
      </c>
      <c r="Q1900" s="48" t="s">
        <v>2458</v>
      </c>
      <c r="R1900" s="40"/>
      <c r="S1900" s="34">
        <v>36871.6</v>
      </c>
      <c r="T1900" s="34"/>
      <c r="U1900" s="50">
        <v>36871.6</v>
      </c>
      <c r="V1900" s="32">
        <f t="shared" si="215"/>
        <v>0</v>
      </c>
      <c r="W1900" s="32">
        <f t="shared" si="216"/>
        <v>35797.6699029126</v>
      </c>
      <c r="X1900" s="32"/>
      <c r="Y1900" s="32">
        <f t="shared" ref="Y1900:Y1904" si="217">W1900+X1900</f>
        <v>35797.6699029126</v>
      </c>
      <c r="Z1900" s="32">
        <f t="shared" si="214"/>
        <v>1073.93009708738</v>
      </c>
      <c r="AA1900" s="34">
        <v>0</v>
      </c>
      <c r="AB1900" s="24">
        <v>0.065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ht="14.25" spans="1:34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2457</v>
      </c>
      <c r="F1901" s="20" t="s">
        <v>2457</v>
      </c>
      <c r="G1901" s="20" t="s">
        <v>2457</v>
      </c>
      <c r="H1901" s="20" t="s">
        <v>1999</v>
      </c>
      <c r="I1901" s="20" t="s">
        <v>2000</v>
      </c>
      <c r="J1901" s="20" t="s">
        <v>2001</v>
      </c>
      <c r="K1901" s="20" t="str">
        <f>VLOOKUP(H1901,[1]媒体表!C:T,18,0)</f>
        <v>北京多彩</v>
      </c>
      <c r="L1901" s="20" t="s">
        <v>2457</v>
      </c>
      <c r="M1901" s="47"/>
      <c r="N1901" s="20" t="s">
        <v>42</v>
      </c>
      <c r="O1901" s="20" t="s">
        <v>82</v>
      </c>
      <c r="P1901" s="47">
        <v>0</v>
      </c>
      <c r="Q1901" s="48" t="s">
        <v>2458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</v>
      </c>
      <c r="AB1901" s="24">
        <v>0.065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ht="14.25" spans="1:34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1999</v>
      </c>
      <c r="I1902" s="20" t="s">
        <v>2000</v>
      </c>
      <c r="J1902" s="20" t="s">
        <v>2001</v>
      </c>
      <c r="K1902" s="20" t="str">
        <f>VLOOKUP(H1902,[1]媒体表!C:T,18,0)</f>
        <v>北京多彩</v>
      </c>
      <c r="L1902" s="20" t="s">
        <v>1794</v>
      </c>
      <c r="M1902" s="47"/>
      <c r="N1902" s="20" t="s">
        <v>42</v>
      </c>
      <c r="O1902" s="20" t="s">
        <v>43</v>
      </c>
      <c r="P1902" s="47">
        <v>0.02</v>
      </c>
      <c r="Q1902" s="48" t="s">
        <v>2459</v>
      </c>
      <c r="R1902" s="40"/>
      <c r="S1902" s="34">
        <v>53455.92</v>
      </c>
      <c r="T1902" s="34"/>
      <c r="U1902" s="32">
        <v>53065.6</v>
      </c>
      <c r="V1902" s="32">
        <v>0</v>
      </c>
      <c r="W1902" s="32">
        <f>(U1902+400.31)/(1+P1902)</f>
        <v>52417.5588235294</v>
      </c>
      <c r="X1902" s="32"/>
      <c r="Y1902" s="32">
        <f t="shared" si="217"/>
        <v>52417.5588235294</v>
      </c>
      <c r="Z1902" s="32">
        <f t="shared" si="214"/>
        <v>648.041176470593</v>
      </c>
      <c r="AA1902" s="34">
        <f>32540.2144363968+400.31</f>
        <v>32940.5244363968</v>
      </c>
      <c r="AB1902" s="24">
        <v>0.065</v>
      </c>
      <c r="AC1902" s="36"/>
      <c r="AD1902" s="36"/>
      <c r="AE1902" s="34" t="s">
        <v>2460</v>
      </c>
      <c r="AF1902" s="34" t="s">
        <v>44</v>
      </c>
      <c r="AG1902" s="24">
        <v>0</v>
      </c>
      <c r="AH1902" s="38" t="e">
        <v>#N/A</v>
      </c>
    </row>
    <row r="1903" ht="14.25" spans="1:34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2461</v>
      </c>
      <c r="F1903" s="20" t="s">
        <v>2462</v>
      </c>
      <c r="G1903" s="20" t="s">
        <v>2461</v>
      </c>
      <c r="H1903" s="20" t="s">
        <v>1999</v>
      </c>
      <c r="I1903" s="20" t="s">
        <v>2000</v>
      </c>
      <c r="J1903" s="20" t="s">
        <v>2001</v>
      </c>
      <c r="K1903" s="20" t="str">
        <f>VLOOKUP(H1903,[1]媒体表!C:T,18,0)</f>
        <v>北京多彩</v>
      </c>
      <c r="L1903" s="20" t="s">
        <v>2461</v>
      </c>
      <c r="M1903" s="47"/>
      <c r="N1903" s="20" t="s">
        <v>42</v>
      </c>
      <c r="O1903" s="20" t="s">
        <v>43</v>
      </c>
      <c r="P1903" s="47">
        <v>0.02</v>
      </c>
      <c r="Q1903" s="48" t="s">
        <v>2463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37940.2</v>
      </c>
      <c r="W1903" s="32">
        <f t="shared" ref="W1903:W1914" si="219">IF(O1903="返货",U1903/(1+P1903),IF(O1903="返现",U1903,IF(O1903="折扣",U1903*P1903,IF(O1903="无",U1903))))</f>
        <v>91300.7843137255</v>
      </c>
      <c r="X1903" s="32"/>
      <c r="Y1903" s="32">
        <f t="shared" si="217"/>
        <v>91300.7843137255</v>
      </c>
      <c r="Z1903" s="32">
        <f t="shared" si="214"/>
        <v>1826.01568627451</v>
      </c>
      <c r="AA1903" s="34">
        <v>57106.0355819107</v>
      </c>
      <c r="AB1903" s="24">
        <v>0.065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ht="14.25" spans="1:34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1795</v>
      </c>
      <c r="F1904" s="20" t="s">
        <v>1795</v>
      </c>
      <c r="G1904" s="20" t="s">
        <v>1795</v>
      </c>
      <c r="H1904" s="20" t="s">
        <v>1999</v>
      </c>
      <c r="I1904" s="20" t="s">
        <v>2000</v>
      </c>
      <c r="J1904" s="20" t="s">
        <v>2001</v>
      </c>
      <c r="K1904" s="20" t="str">
        <f>VLOOKUP(H1904,[1]媒体表!C:T,18,0)</f>
        <v>北京多彩</v>
      </c>
      <c r="L1904" s="20" t="s">
        <v>1795</v>
      </c>
      <c r="M1904" s="47"/>
      <c r="N1904" s="20" t="s">
        <v>42</v>
      </c>
      <c r="O1904" s="20" t="s">
        <v>43</v>
      </c>
      <c r="P1904" s="47">
        <v>0.02</v>
      </c>
      <c r="Q1904" s="48" t="s">
        <v>2464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</v>
      </c>
      <c r="X1904" s="32"/>
      <c r="Y1904" s="32">
        <f t="shared" si="217"/>
        <v>85068.3333333333</v>
      </c>
      <c r="Z1904" s="32">
        <f t="shared" si="214"/>
        <v>1701.36666666667</v>
      </c>
      <c r="AA1904" s="34">
        <v>53207.8153188096</v>
      </c>
      <c r="AB1904" s="24">
        <v>0.065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ht="14.25" spans="1:34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2465</v>
      </c>
      <c r="F1905" s="20" t="s">
        <v>2465</v>
      </c>
      <c r="G1905" s="20" t="s">
        <v>2465</v>
      </c>
      <c r="H1905" s="20" t="s">
        <v>1999</v>
      </c>
      <c r="I1905" s="20" t="s">
        <v>2000</v>
      </c>
      <c r="J1905" s="20" t="s">
        <v>2001</v>
      </c>
      <c r="K1905" s="20" t="str">
        <f>VLOOKUP(H1905,[1]媒体表!C:T,18,0)</f>
        <v>北京多彩</v>
      </c>
      <c r="L1905" s="20" t="s">
        <v>2465</v>
      </c>
      <c r="M1905" s="47"/>
      <c r="N1905" s="20" t="s">
        <v>59</v>
      </c>
      <c r="O1905" s="20" t="s">
        <v>43</v>
      </c>
      <c r="P1905" s="47">
        <v>0.06</v>
      </c>
      <c r="Q1905" s="48" t="s">
        <v>2466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</v>
      </c>
      <c r="W1905" s="32">
        <f t="shared" si="219"/>
        <v>375445.311320755</v>
      </c>
      <c r="X1905" s="32"/>
      <c r="Y1905" s="32"/>
      <c r="Z1905" s="32">
        <f t="shared" si="214"/>
        <v>22526.7186792453</v>
      </c>
      <c r="AA1905" s="34">
        <v>244039.362522767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ht="14.25" spans="1:34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2467</v>
      </c>
      <c r="F1906" s="20" t="s">
        <v>2467</v>
      </c>
      <c r="G1906" s="20" t="s">
        <v>2467</v>
      </c>
      <c r="H1906" s="20" t="s">
        <v>1999</v>
      </c>
      <c r="I1906" s="20" t="s">
        <v>2000</v>
      </c>
      <c r="J1906" s="20" t="s">
        <v>2001</v>
      </c>
      <c r="K1906" s="20" t="str">
        <f>VLOOKUP(H1906,[1]媒体表!C:T,18,0)</f>
        <v>北京多彩</v>
      </c>
      <c r="L1906" s="20" t="s">
        <v>2467</v>
      </c>
      <c r="M1906" s="47"/>
      <c r="N1906" s="20" t="s">
        <v>59</v>
      </c>
      <c r="O1906" s="20" t="s">
        <v>43</v>
      </c>
      <c r="P1906" s="47">
        <v>0.08</v>
      </c>
      <c r="Q1906" s="48" t="s">
        <v>2468</v>
      </c>
      <c r="R1906" s="40"/>
      <c r="S1906" s="34">
        <v>61.7099999999991</v>
      </c>
      <c r="T1906" s="34"/>
      <c r="U1906" s="32">
        <v>0</v>
      </c>
      <c r="V1906" s="32">
        <f t="shared" si="218"/>
        <v>61.7099999999991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ht="14.25" spans="1:34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2469</v>
      </c>
      <c r="F1907" s="20" t="s">
        <v>2469</v>
      </c>
      <c r="G1907" s="20" t="s">
        <v>2469</v>
      </c>
      <c r="H1907" s="20" t="s">
        <v>1999</v>
      </c>
      <c r="I1907" s="20" t="s">
        <v>2000</v>
      </c>
      <c r="J1907" s="20" t="s">
        <v>2001</v>
      </c>
      <c r="K1907" s="20" t="str">
        <f>VLOOKUP(H1907,[1]媒体表!C:T,18,0)</f>
        <v>北京多彩</v>
      </c>
      <c r="L1907" s="20" t="s">
        <v>2469</v>
      </c>
      <c r="M1907" s="47"/>
      <c r="N1907" s="20" t="s">
        <v>59</v>
      </c>
      <c r="O1907" s="20" t="s">
        <v>43</v>
      </c>
      <c r="P1907" s="47">
        <v>0.08</v>
      </c>
      <c r="Q1907" s="48" t="s">
        <v>2470</v>
      </c>
      <c r="R1907" s="40"/>
      <c r="S1907" s="34">
        <v>0.069999999992433</v>
      </c>
      <c r="T1907" s="34"/>
      <c r="U1907" s="32">
        <v>0</v>
      </c>
      <c r="V1907" s="32">
        <f t="shared" si="218"/>
        <v>0.069999999992433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ht="14.25" spans="1:34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2471</v>
      </c>
      <c r="G1908" s="20" t="s">
        <v>1052</v>
      </c>
      <c r="H1908" s="20" t="s">
        <v>1999</v>
      </c>
      <c r="I1908" s="20" t="s">
        <v>2000</v>
      </c>
      <c r="J1908" s="20" t="s">
        <v>2001</v>
      </c>
      <c r="K1908" s="20" t="str">
        <f>VLOOKUP(H1908,[1]媒体表!C:T,18,0)</f>
        <v>北京多彩</v>
      </c>
      <c r="L1908" s="20" t="s">
        <v>2472</v>
      </c>
      <c r="M1908" s="47"/>
      <c r="N1908" s="20" t="s">
        <v>42</v>
      </c>
      <c r="O1908" s="20" t="s">
        <v>43</v>
      </c>
      <c r="P1908" s="47">
        <v>0.03</v>
      </c>
      <c r="Q1908" s="48" t="s">
        <v>2473</v>
      </c>
      <c r="R1908" s="40"/>
      <c r="S1908" s="34">
        <v>2.55999999999767</v>
      </c>
      <c r="T1908" s="34"/>
      <c r="U1908" s="32">
        <v>0</v>
      </c>
      <c r="V1908" s="32">
        <f t="shared" si="218"/>
        <v>2.55999999999767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0.065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ht="14.25" spans="1:34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2474</v>
      </c>
      <c r="F1909" s="20" t="s">
        <v>2474</v>
      </c>
      <c r="G1909" s="20" t="s">
        <v>2474</v>
      </c>
      <c r="H1909" s="20" t="s">
        <v>1999</v>
      </c>
      <c r="I1909" s="20" t="s">
        <v>2000</v>
      </c>
      <c r="J1909" s="20" t="s">
        <v>2001</v>
      </c>
      <c r="K1909" s="20" t="str">
        <f>VLOOKUP(H1909,[1]媒体表!C:T,18,0)</f>
        <v>北京多彩</v>
      </c>
      <c r="L1909" s="20" t="s">
        <v>2475</v>
      </c>
      <c r="M1909" s="47"/>
      <c r="N1909" s="20" t="s">
        <v>42</v>
      </c>
      <c r="O1909" s="20" t="s">
        <v>43</v>
      </c>
      <c r="P1909" s="47">
        <v>0.02</v>
      </c>
      <c r="Q1909" s="48" t="s">
        <v>2476</v>
      </c>
      <c r="R1909" s="40"/>
      <c r="S1909" s="34">
        <v>37060.4</v>
      </c>
      <c r="T1909" s="34"/>
      <c r="U1909" s="32">
        <v>22152.8</v>
      </c>
      <c r="V1909" s="32">
        <f t="shared" si="218"/>
        <v>14907.6</v>
      </c>
      <c r="W1909" s="32">
        <f t="shared" si="219"/>
        <v>21718.431372549</v>
      </c>
      <c r="X1909" s="32"/>
      <c r="Y1909" s="32">
        <f t="shared" si="220"/>
        <v>21718.431372549</v>
      </c>
      <c r="Z1909" s="32">
        <f t="shared" si="214"/>
        <v>434.368627450982</v>
      </c>
      <c r="AA1909" s="34">
        <v>13584.2591503085</v>
      </c>
      <c r="AB1909" s="24">
        <v>0.065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ht="14.25" spans="1:34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2474</v>
      </c>
      <c r="F1910" s="20" t="s">
        <v>2474</v>
      </c>
      <c r="G1910" s="20" t="s">
        <v>2474</v>
      </c>
      <c r="H1910" s="20" t="s">
        <v>1999</v>
      </c>
      <c r="I1910" s="20" t="s">
        <v>2000</v>
      </c>
      <c r="J1910" s="20" t="s">
        <v>2001</v>
      </c>
      <c r="K1910" s="20" t="str">
        <f>VLOOKUP(H1910,[1]媒体表!C:T,18,0)</f>
        <v>北京多彩</v>
      </c>
      <c r="L1910" s="20" t="s">
        <v>2477</v>
      </c>
      <c r="M1910" s="47"/>
      <c r="N1910" s="20" t="s">
        <v>42</v>
      </c>
      <c r="O1910" s="20" t="s">
        <v>43</v>
      </c>
      <c r="P1910" s="47">
        <v>0.02</v>
      </c>
      <c r="Q1910" s="48" t="s">
        <v>2478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5609.60784313726</v>
      </c>
      <c r="X1910" s="32"/>
      <c r="Y1910" s="32">
        <f t="shared" si="220"/>
        <v>5609.60784313726</v>
      </c>
      <c r="Z1910" s="32">
        <f t="shared" si="214"/>
        <v>112.192156862745</v>
      </c>
      <c r="AA1910" s="34">
        <v>0</v>
      </c>
      <c r="AB1910" s="24">
        <v>0.065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ht="14.25" spans="1:34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2474</v>
      </c>
      <c r="F1911" s="20" t="s">
        <v>2474</v>
      </c>
      <c r="G1911" s="20" t="s">
        <v>2474</v>
      </c>
      <c r="H1911" s="20" t="s">
        <v>1999</v>
      </c>
      <c r="I1911" s="20" t="s">
        <v>2000</v>
      </c>
      <c r="J1911" s="20" t="s">
        <v>2001</v>
      </c>
      <c r="K1911" s="20" t="str">
        <f>VLOOKUP(H1911,[1]媒体表!C:T,18,0)</f>
        <v>北京多彩</v>
      </c>
      <c r="L1911" s="20" t="s">
        <v>2477</v>
      </c>
      <c r="M1911" s="47"/>
      <c r="N1911" s="20" t="s">
        <v>42</v>
      </c>
      <c r="O1911" s="20" t="s">
        <v>82</v>
      </c>
      <c r="P1911" s="47">
        <v>0</v>
      </c>
      <c r="Q1911" s="48" t="s">
        <v>2478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</v>
      </c>
      <c r="AB1911" s="24">
        <v>0.065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ht="14.25" spans="1:34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2479</v>
      </c>
      <c r="F1912" s="20" t="s">
        <v>2479</v>
      </c>
      <c r="G1912" s="20" t="s">
        <v>2479</v>
      </c>
      <c r="H1912" s="20" t="s">
        <v>1999</v>
      </c>
      <c r="I1912" s="20" t="s">
        <v>2000</v>
      </c>
      <c r="J1912" s="20" t="s">
        <v>2001</v>
      </c>
      <c r="K1912" s="20" t="str">
        <f>VLOOKUP(H1912,[1]媒体表!C:T,18,0)</f>
        <v>北京多彩</v>
      </c>
      <c r="L1912" s="20" t="s">
        <v>2479</v>
      </c>
      <c r="M1912" s="47"/>
      <c r="N1912" s="20" t="s">
        <v>59</v>
      </c>
      <c r="O1912" s="20" t="s">
        <v>43</v>
      </c>
      <c r="P1912" s="47">
        <v>0.04</v>
      </c>
      <c r="Q1912" s="48" t="s">
        <v>2480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ht="14.25" spans="1:34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2481</v>
      </c>
      <c r="F1913" s="20" t="s">
        <v>2481</v>
      </c>
      <c r="G1913" s="20" t="s">
        <v>2481</v>
      </c>
      <c r="H1913" s="20" t="s">
        <v>1999</v>
      </c>
      <c r="I1913" s="20" t="s">
        <v>2000</v>
      </c>
      <c r="J1913" s="20" t="s">
        <v>2001</v>
      </c>
      <c r="K1913" s="20" t="str">
        <f>VLOOKUP(H1913,[1]媒体表!C:T,18,0)</f>
        <v>北京多彩</v>
      </c>
      <c r="L1913" s="20" t="s">
        <v>2481</v>
      </c>
      <c r="M1913" s="47"/>
      <c r="N1913" s="20" t="s">
        <v>42</v>
      </c>
      <c r="O1913" s="20" t="s">
        <v>43</v>
      </c>
      <c r="P1913" s="47">
        <v>0.02</v>
      </c>
      <c r="Q1913" s="48" t="s">
        <v>2482</v>
      </c>
      <c r="R1913" s="40"/>
      <c r="S1913" s="34">
        <v>670.299999999999</v>
      </c>
      <c r="T1913" s="34"/>
      <c r="U1913" s="32">
        <v>209</v>
      </c>
      <c r="V1913" s="32">
        <f t="shared" si="218"/>
        <v>461.299999999999</v>
      </c>
      <c r="W1913" s="32">
        <f t="shared" si="219"/>
        <v>204.901960784314</v>
      </c>
      <c r="X1913" s="32"/>
      <c r="Y1913" s="32">
        <f t="shared" si="220"/>
        <v>204.901960784314</v>
      </c>
      <c r="Z1913" s="32">
        <f t="shared" si="214"/>
        <v>4.09803921568627</v>
      </c>
      <c r="AA1913" s="34">
        <v>128.160330180134</v>
      </c>
      <c r="AB1913" s="24">
        <v>0.065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ht="14.25" spans="1:34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1999</v>
      </c>
      <c r="I1914" s="20" t="s">
        <v>2000</v>
      </c>
      <c r="J1914" s="20" t="s">
        <v>2001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</v>
      </c>
      <c r="Q1914" s="48" t="s">
        <v>2483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ht="14.25" spans="1:34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1999</v>
      </c>
      <c r="I1915" s="20" t="s">
        <v>2000</v>
      </c>
      <c r="J1915" s="20" t="s">
        <v>2001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2484</v>
      </c>
      <c r="R1915" s="40"/>
      <c r="S1915" s="34">
        <v>52725.9</v>
      </c>
      <c r="T1915" s="34">
        <v>-1033.84</v>
      </c>
      <c r="U1915" s="32">
        <v>0</v>
      </c>
      <c r="V1915" s="32">
        <v>0</v>
      </c>
      <c r="W1915" s="32">
        <f>51692.06/(1+P1915)</f>
        <v>50678.4901960784</v>
      </c>
      <c r="X1915" s="32"/>
      <c r="Y1915" s="32">
        <f t="shared" si="220"/>
        <v>50678.4901960784</v>
      </c>
      <c r="Z1915" s="32">
        <f t="shared" si="221"/>
        <v>-50678.4901960784</v>
      </c>
      <c r="AA1915" s="34">
        <v>51692.06</v>
      </c>
      <c r="AB1915" s="24">
        <v>0.065</v>
      </c>
      <c r="AC1915" s="36"/>
      <c r="AD1915" s="36"/>
      <c r="AE1915" s="34" t="s">
        <v>2485</v>
      </c>
      <c r="AF1915" s="34" t="s">
        <v>44</v>
      </c>
      <c r="AG1915" s="24">
        <v>0</v>
      </c>
      <c r="AH1915" s="38" t="e">
        <v>#N/A</v>
      </c>
    </row>
    <row r="1916" ht="14.25" spans="1:34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2486</v>
      </c>
      <c r="F1916" s="20" t="s">
        <v>2486</v>
      </c>
      <c r="G1916" s="20" t="s">
        <v>2486</v>
      </c>
      <c r="H1916" s="20" t="s">
        <v>1999</v>
      </c>
      <c r="I1916" s="20" t="s">
        <v>2000</v>
      </c>
      <c r="J1916" s="20" t="s">
        <v>2001</v>
      </c>
      <c r="K1916" s="20" t="str">
        <f>VLOOKUP(H1916,[1]媒体表!C:T,18,0)</f>
        <v>北京多彩</v>
      </c>
      <c r="L1916" s="20" t="s">
        <v>2486</v>
      </c>
      <c r="M1916" s="47"/>
      <c r="N1916" s="20" t="s">
        <v>42</v>
      </c>
      <c r="O1916" s="20" t="s">
        <v>43</v>
      </c>
      <c r="P1916" s="47">
        <v>0.02</v>
      </c>
      <c r="Q1916" s="48" t="s">
        <v>2487</v>
      </c>
      <c r="R1916" s="40"/>
      <c r="S1916" s="34">
        <v>0.400000000001455</v>
      </c>
      <c r="T1916" s="34"/>
      <c r="U1916" s="32">
        <v>0</v>
      </c>
      <c r="V1916" s="32">
        <f t="shared" ref="V1916:V1943" si="222">S1916+T1916-U1916</f>
        <v>0.400000000001455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0.065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ht="14.25" spans="1:34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2488</v>
      </c>
      <c r="F1917" s="20" t="s">
        <v>2488</v>
      </c>
      <c r="G1917" s="20" t="s">
        <v>2488</v>
      </c>
      <c r="H1917" s="20" t="s">
        <v>1999</v>
      </c>
      <c r="I1917" s="20" t="s">
        <v>2000</v>
      </c>
      <c r="J1917" s="20" t="s">
        <v>2001</v>
      </c>
      <c r="K1917" s="20" t="str">
        <f>VLOOKUP(H1917,[1]媒体表!C:T,18,0)</f>
        <v>北京多彩</v>
      </c>
      <c r="L1917" s="20" t="s">
        <v>2488</v>
      </c>
      <c r="M1917" s="47"/>
      <c r="N1917" s="20" t="s">
        <v>42</v>
      </c>
      <c r="O1917" s="20" t="s">
        <v>43</v>
      </c>
      <c r="P1917" s="47">
        <v>0.02</v>
      </c>
      <c r="Q1917" s="48" t="s">
        <v>2489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30875.3137254902</v>
      </c>
      <c r="X1917" s="32"/>
      <c r="Y1917" s="32">
        <f t="shared" si="220"/>
        <v>30875.3137254902</v>
      </c>
      <c r="Z1917" s="32">
        <f t="shared" si="221"/>
        <v>617.506274509804</v>
      </c>
      <c r="AA1917" s="34">
        <v>22179.4022126812</v>
      </c>
      <c r="AB1917" s="24">
        <v>0.065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ht="14.25" spans="1:34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2488</v>
      </c>
      <c r="F1918" s="20" t="s">
        <v>2488</v>
      </c>
      <c r="G1918" s="20" t="s">
        <v>2488</v>
      </c>
      <c r="H1918" s="20" t="s">
        <v>1999</v>
      </c>
      <c r="I1918" s="20" t="s">
        <v>2000</v>
      </c>
      <c r="J1918" s="20" t="s">
        <v>2001</v>
      </c>
      <c r="K1918" s="20" t="str">
        <f>VLOOKUP(H1918,[1]媒体表!C:T,18,0)</f>
        <v>北京多彩</v>
      </c>
      <c r="L1918" s="20" t="s">
        <v>2488</v>
      </c>
      <c r="M1918" s="47"/>
      <c r="N1918" s="20" t="s">
        <v>42</v>
      </c>
      <c r="O1918" s="20" t="s">
        <v>43</v>
      </c>
      <c r="P1918" s="47">
        <v>0.03</v>
      </c>
      <c r="Q1918" s="48" t="s">
        <v>2489</v>
      </c>
      <c r="R1918" s="40"/>
      <c r="S1918" s="34">
        <v>4676.67999999999</v>
      </c>
      <c r="T1918" s="34"/>
      <c r="U1918" s="50">
        <v>4676.67999999999</v>
      </c>
      <c r="V1918" s="32">
        <f t="shared" si="222"/>
        <v>0</v>
      </c>
      <c r="W1918" s="32">
        <f t="shared" si="223"/>
        <v>4540.46601941747</v>
      </c>
      <c r="X1918" s="32"/>
      <c r="Y1918" s="32">
        <f t="shared" si="220"/>
        <v>4540.46601941747</v>
      </c>
      <c r="Z1918" s="32">
        <f t="shared" si="221"/>
        <v>136.213980582525</v>
      </c>
      <c r="AA1918" s="34">
        <v>0</v>
      </c>
      <c r="AB1918" s="24">
        <v>0.065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ht="14.25" spans="1:34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1800</v>
      </c>
      <c r="F1919" s="20" t="s">
        <v>1800</v>
      </c>
      <c r="G1919" s="20" t="s">
        <v>1800</v>
      </c>
      <c r="H1919" s="20" t="s">
        <v>1999</v>
      </c>
      <c r="I1919" s="20" t="s">
        <v>2000</v>
      </c>
      <c r="J1919" s="20" t="s">
        <v>2001</v>
      </c>
      <c r="K1919" s="20" t="str">
        <f>VLOOKUP(H1919,[1]媒体表!C:T,18,0)</f>
        <v>北京多彩</v>
      </c>
      <c r="L1919" s="20" t="s">
        <v>1801</v>
      </c>
      <c r="M1919" s="47"/>
      <c r="N1919" s="20" t="s">
        <v>59</v>
      </c>
      <c r="O1919" s="20" t="s">
        <v>43</v>
      </c>
      <c r="P1919" s="47">
        <v>0.02</v>
      </c>
      <c r="Q1919" s="48" t="s">
        <v>2245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</v>
      </c>
      <c r="X1919" s="32"/>
      <c r="Y1919" s="32">
        <f t="shared" si="220"/>
        <v>176210.862745098</v>
      </c>
      <c r="Z1919" s="32">
        <f t="shared" si="221"/>
        <v>3524.21725490197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ht="14.25" spans="1:34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1800</v>
      </c>
      <c r="F1920" s="20" t="s">
        <v>1800</v>
      </c>
      <c r="G1920" s="20" t="s">
        <v>1800</v>
      </c>
      <c r="H1920" s="20" t="s">
        <v>1999</v>
      </c>
      <c r="I1920" s="20" t="s">
        <v>2000</v>
      </c>
      <c r="J1920" s="20" t="s">
        <v>2001</v>
      </c>
      <c r="K1920" s="20" t="str">
        <f>VLOOKUP(H1920,[1]媒体表!C:T,18,0)</f>
        <v>北京多彩</v>
      </c>
      <c r="L1920" s="20" t="s">
        <v>1801</v>
      </c>
      <c r="M1920" s="47"/>
      <c r="N1920" s="20" t="s">
        <v>333</v>
      </c>
      <c r="O1920" s="20" t="s">
        <v>43</v>
      </c>
      <c r="P1920" s="47">
        <v>0.02</v>
      </c>
      <c r="Q1920" s="48" t="s">
        <v>2245</v>
      </c>
      <c r="R1920" s="40"/>
      <c r="S1920" s="34">
        <v>-686984.21</v>
      </c>
      <c r="T1920" s="34"/>
      <c r="U1920" s="32">
        <v>73569.4</v>
      </c>
      <c r="V1920" s="32">
        <f t="shared" si="222"/>
        <v>-760553.61</v>
      </c>
      <c r="W1920" s="32">
        <f t="shared" si="223"/>
        <v>72126.862745098</v>
      </c>
      <c r="X1920" s="32"/>
      <c r="Y1920" s="32">
        <f t="shared" si="220"/>
        <v>72126.862745098</v>
      </c>
      <c r="Z1920" s="32">
        <f t="shared" si="221"/>
        <v>1442.53725490197</v>
      </c>
      <c r="AA1920" s="34">
        <v>45113.2947136573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ht="14.25" spans="1:34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1800</v>
      </c>
      <c r="F1921" s="20" t="s">
        <v>1800</v>
      </c>
      <c r="G1921" s="20" t="s">
        <v>1800</v>
      </c>
      <c r="H1921" s="20" t="s">
        <v>1999</v>
      </c>
      <c r="I1921" s="20" t="s">
        <v>2000</v>
      </c>
      <c r="J1921" s="20" t="s">
        <v>2001</v>
      </c>
      <c r="K1921" s="20" t="str">
        <f>VLOOKUP(H1921,[1]媒体表!C:T,18,0)</f>
        <v>北京多彩</v>
      </c>
      <c r="L1921" s="20" t="s">
        <v>2244</v>
      </c>
      <c r="M1921" s="47"/>
      <c r="N1921" s="20" t="s">
        <v>42</v>
      </c>
      <c r="O1921" s="20" t="s">
        <v>43</v>
      </c>
      <c r="P1921" s="47">
        <v>0.01</v>
      </c>
      <c r="Q1921" s="48" t="s">
        <v>2245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0.065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ht="14.25" spans="1:34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2490</v>
      </c>
      <c r="F1922" s="20" t="s">
        <v>2490</v>
      </c>
      <c r="G1922" s="20" t="s">
        <v>2490</v>
      </c>
      <c r="H1922" s="20" t="s">
        <v>1999</v>
      </c>
      <c r="I1922" s="20" t="s">
        <v>2000</v>
      </c>
      <c r="J1922" s="20" t="s">
        <v>2001</v>
      </c>
      <c r="K1922" s="20" t="str">
        <f>VLOOKUP(H1922,[1]媒体表!C:T,18,0)</f>
        <v>北京多彩</v>
      </c>
      <c r="L1922" s="20" t="s">
        <v>2490</v>
      </c>
      <c r="M1922" s="47"/>
      <c r="N1922" s="20" t="s">
        <v>42</v>
      </c>
      <c r="O1922" s="20" t="s">
        <v>43</v>
      </c>
      <c r="P1922" s="47">
        <v>0.02</v>
      </c>
      <c r="Q1922" s="48" t="s">
        <v>2491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0.065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ht="14.25" spans="1:34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2492</v>
      </c>
      <c r="F1923" s="20" t="s">
        <v>2492</v>
      </c>
      <c r="G1923" s="20" t="s">
        <v>2492</v>
      </c>
      <c r="H1923" s="20" t="s">
        <v>1999</v>
      </c>
      <c r="I1923" s="20" t="s">
        <v>2000</v>
      </c>
      <c r="J1923" s="20" t="s">
        <v>2001</v>
      </c>
      <c r="K1923" s="20" t="str">
        <f>VLOOKUP(H1923,[1]媒体表!C:T,18,0)</f>
        <v>北京多彩</v>
      </c>
      <c r="L1923" s="20" t="s">
        <v>2492</v>
      </c>
      <c r="M1923" s="47"/>
      <c r="N1923" s="20" t="s">
        <v>42</v>
      </c>
      <c r="O1923" s="20" t="s">
        <v>43</v>
      </c>
      <c r="P1923" s="47">
        <v>0.02</v>
      </c>
      <c r="Q1923" s="48" t="s">
        <v>2493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</v>
      </c>
      <c r="W1923" s="32">
        <f t="shared" si="223"/>
        <v>101126.941176471</v>
      </c>
      <c r="X1923" s="32"/>
      <c r="Y1923" s="32">
        <f t="shared" ref="Y1923:Y1931" si="224">W1923+X1923</f>
        <v>101126.941176471</v>
      </c>
      <c r="Z1923" s="32">
        <f t="shared" si="221"/>
        <v>2022.53882352941</v>
      </c>
      <c r="AA1923" s="34">
        <v>76202.1577975329</v>
      </c>
      <c r="AB1923" s="24">
        <v>0.065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ht="14.25" spans="1:34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2492</v>
      </c>
      <c r="F1924" s="20" t="s">
        <v>2492</v>
      </c>
      <c r="G1924" s="20" t="s">
        <v>2492</v>
      </c>
      <c r="H1924" s="20" t="s">
        <v>1999</v>
      </c>
      <c r="I1924" s="20" t="s">
        <v>2000</v>
      </c>
      <c r="J1924" s="20" t="s">
        <v>2001</v>
      </c>
      <c r="K1924" s="20" t="str">
        <f>VLOOKUP(H1924,[1]媒体表!C:T,18,0)</f>
        <v>北京多彩</v>
      </c>
      <c r="L1924" s="20" t="s">
        <v>2492</v>
      </c>
      <c r="M1924" s="47"/>
      <c r="N1924" s="20" t="s">
        <v>42</v>
      </c>
      <c r="O1924" s="20" t="s">
        <v>43</v>
      </c>
      <c r="P1924" s="47">
        <v>0.03</v>
      </c>
      <c r="Q1924" s="48" t="s">
        <v>2493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</v>
      </c>
      <c r="X1924" s="32"/>
      <c r="Y1924" s="32">
        <f t="shared" si="224"/>
        <v>20503.5922330097</v>
      </c>
      <c r="Z1924" s="32">
        <f t="shared" si="221"/>
        <v>615.107766990292</v>
      </c>
      <c r="AA1924" s="34">
        <v>0</v>
      </c>
      <c r="AB1924" s="24">
        <v>0.065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ht="14.25" spans="1:34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2494</v>
      </c>
      <c r="G1925" s="20" t="s">
        <v>216</v>
      </c>
      <c r="H1925" s="20" t="s">
        <v>1999</v>
      </c>
      <c r="I1925" s="20" t="s">
        <v>2000</v>
      </c>
      <c r="J1925" s="20" t="s">
        <v>2001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2495</v>
      </c>
      <c r="R1925" s="40"/>
      <c r="S1925" s="34">
        <v>8444.2</v>
      </c>
      <c r="T1925" s="34">
        <v>-8444.2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0.065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ht="14.25" spans="1:34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2496</v>
      </c>
      <c r="F1926" s="20" t="s">
        <v>2496</v>
      </c>
      <c r="G1926" s="20" t="s">
        <v>2496</v>
      </c>
      <c r="H1926" s="20" t="s">
        <v>1999</v>
      </c>
      <c r="I1926" s="20" t="s">
        <v>2000</v>
      </c>
      <c r="J1926" s="20" t="s">
        <v>2001</v>
      </c>
      <c r="K1926" s="20" t="str">
        <f>VLOOKUP(H1926,[1]媒体表!C:T,18,0)</f>
        <v>北京多彩</v>
      </c>
      <c r="L1926" s="20" t="s">
        <v>2496</v>
      </c>
      <c r="M1926" s="47"/>
      <c r="N1926" s="20" t="s">
        <v>42</v>
      </c>
      <c r="O1926" s="20" t="s">
        <v>43</v>
      </c>
      <c r="P1926" s="47">
        <v>0.02</v>
      </c>
      <c r="Q1926" s="48" t="s">
        <v>2497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</v>
      </c>
      <c r="AB1926" s="24">
        <v>0.065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ht="14.25" spans="1:34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2496</v>
      </c>
      <c r="F1927" s="20" t="s">
        <v>2496</v>
      </c>
      <c r="G1927" s="20" t="s">
        <v>2496</v>
      </c>
      <c r="H1927" s="20" t="s">
        <v>1999</v>
      </c>
      <c r="I1927" s="20" t="s">
        <v>2000</v>
      </c>
      <c r="J1927" s="20" t="s">
        <v>2001</v>
      </c>
      <c r="K1927" s="20" t="str">
        <f>VLOOKUP(H1927,[1]媒体表!C:T,18,0)</f>
        <v>北京多彩</v>
      </c>
      <c r="L1927" s="20" t="s">
        <v>2496</v>
      </c>
      <c r="M1927" s="47"/>
      <c r="N1927" s="20" t="s">
        <v>42</v>
      </c>
      <c r="O1927" s="20" t="s">
        <v>82</v>
      </c>
      <c r="P1927" s="47">
        <v>0</v>
      </c>
      <c r="Q1927" s="48" t="s">
        <v>2497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0.065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ht="14.25" spans="1:34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2498</v>
      </c>
      <c r="F1928" s="20" t="s">
        <v>2498</v>
      </c>
      <c r="G1928" s="20" t="s">
        <v>2498</v>
      </c>
      <c r="H1928" s="20" t="s">
        <v>1999</v>
      </c>
      <c r="I1928" s="20" t="s">
        <v>2000</v>
      </c>
      <c r="J1928" s="20" t="s">
        <v>2001</v>
      </c>
      <c r="K1928" s="20" t="str">
        <f>VLOOKUP(H1928,[1]媒体表!C:T,18,0)</f>
        <v>北京多彩</v>
      </c>
      <c r="L1928" s="20" t="s">
        <v>2498</v>
      </c>
      <c r="M1928" s="47"/>
      <c r="N1928" s="20" t="s">
        <v>42</v>
      </c>
      <c r="O1928" s="20" t="s">
        <v>43</v>
      </c>
      <c r="P1928" s="47">
        <v>0.02</v>
      </c>
      <c r="Q1928" s="48" t="s">
        <v>2499</v>
      </c>
      <c r="R1928" s="40"/>
      <c r="S1928" s="34">
        <v>-7.20000000010077</v>
      </c>
      <c r="T1928" s="34"/>
      <c r="U1928" s="32">
        <v>0</v>
      </c>
      <c r="V1928" s="32">
        <f t="shared" si="222"/>
        <v>-7.20000000010077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0.065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ht="14.25" spans="1:34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1776</v>
      </c>
      <c r="F1929" s="20" t="s">
        <v>1961</v>
      </c>
      <c r="G1929" s="20" t="s">
        <v>1776</v>
      </c>
      <c r="H1929" s="20" t="s">
        <v>1999</v>
      </c>
      <c r="I1929" s="20" t="s">
        <v>2000</v>
      </c>
      <c r="J1929" s="20" t="s">
        <v>2001</v>
      </c>
      <c r="K1929" s="20" t="str">
        <f>VLOOKUP(H1929,[1]媒体表!C:T,18,0)</f>
        <v>北京多彩</v>
      </c>
      <c r="L1929" s="20" t="s">
        <v>2500</v>
      </c>
      <c r="M1929" s="47"/>
      <c r="N1929" s="20" t="s">
        <v>59</v>
      </c>
      <c r="O1929" s="20" t="s">
        <v>43</v>
      </c>
      <c r="P1929" s="47">
        <v>0.17</v>
      </c>
      <c r="Q1929" s="48" t="s">
        <v>2501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ht="14.25" spans="1:34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2502</v>
      </c>
      <c r="F1930" s="20" t="s">
        <v>2503</v>
      </c>
      <c r="G1930" s="20" t="s">
        <v>2502</v>
      </c>
      <c r="H1930" s="20" t="s">
        <v>1999</v>
      </c>
      <c r="I1930" s="20" t="s">
        <v>2000</v>
      </c>
      <c r="J1930" s="20" t="s">
        <v>2001</v>
      </c>
      <c r="K1930" s="20" t="str">
        <f>VLOOKUP(H1930,[1]媒体表!C:T,18,0)</f>
        <v>北京多彩</v>
      </c>
      <c r="L1930" s="20" t="s">
        <v>2502</v>
      </c>
      <c r="M1930" s="47"/>
      <c r="N1930" s="20" t="s">
        <v>59</v>
      </c>
      <c r="O1930" s="20" t="s">
        <v>82</v>
      </c>
      <c r="P1930" s="47">
        <v>0</v>
      </c>
      <c r="Q1930" s="48" t="s">
        <v>2504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-0.00999999999476131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ht="14.25" spans="1:34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2502</v>
      </c>
      <c r="F1931" s="20" t="s">
        <v>2503</v>
      </c>
      <c r="G1931" s="20" t="s">
        <v>2502</v>
      </c>
      <c r="H1931" s="20" t="s">
        <v>1999</v>
      </c>
      <c r="I1931" s="20" t="s">
        <v>2000</v>
      </c>
      <c r="J1931" s="20" t="s">
        <v>2001</v>
      </c>
      <c r="K1931" s="20" t="str">
        <f>VLOOKUP(H1931,[1]媒体表!C:T,18,0)</f>
        <v>北京多彩</v>
      </c>
      <c r="L1931" s="20" t="s">
        <v>2502</v>
      </c>
      <c r="M1931" s="47"/>
      <c r="N1931" s="20" t="s">
        <v>42</v>
      </c>
      <c r="O1931" s="20" t="s">
        <v>82</v>
      </c>
      <c r="P1931" s="47">
        <v>0</v>
      </c>
      <c r="Q1931" s="48" t="s">
        <v>2505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82733.95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</v>
      </c>
      <c r="AB1931" s="24">
        <v>0.065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ht="14.25" spans="1:34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2506</v>
      </c>
      <c r="F1932" s="20" t="s">
        <v>2506</v>
      </c>
      <c r="G1932" s="20" t="s">
        <v>2506</v>
      </c>
      <c r="H1932" s="20" t="s">
        <v>1999</v>
      </c>
      <c r="I1932" s="20" t="s">
        <v>2000</v>
      </c>
      <c r="J1932" s="20" t="s">
        <v>2001</v>
      </c>
      <c r="K1932" s="20" t="str">
        <f>VLOOKUP(H1932,[1]媒体表!C:T,18,0)</f>
        <v>北京多彩</v>
      </c>
      <c r="L1932" s="20" t="s">
        <v>2506</v>
      </c>
      <c r="M1932" s="47"/>
      <c r="N1932" s="20" t="s">
        <v>42</v>
      </c>
      <c r="O1932" s="20" t="s">
        <v>43</v>
      </c>
      <c r="P1932" s="47">
        <v>0.04</v>
      </c>
      <c r="Q1932" s="48" t="s">
        <v>2507</v>
      </c>
      <c r="R1932" s="40"/>
      <c r="S1932" s="34">
        <v>-5.79999999998836</v>
      </c>
      <c r="T1932" s="34"/>
      <c r="U1932" s="32">
        <v>0</v>
      </c>
      <c r="V1932" s="32">
        <f t="shared" si="222"/>
        <v>-5.79999999998836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0.065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ht="14.25" spans="1:34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2508</v>
      </c>
      <c r="F1933" s="20" t="s">
        <v>2508</v>
      </c>
      <c r="G1933" s="20" t="s">
        <v>2508</v>
      </c>
      <c r="H1933" s="20" t="s">
        <v>1999</v>
      </c>
      <c r="I1933" s="20" t="s">
        <v>2000</v>
      </c>
      <c r="J1933" s="20" t="s">
        <v>2001</v>
      </c>
      <c r="K1933" s="20" t="str">
        <f>VLOOKUP(H1933,[1]媒体表!C:T,18,0)</f>
        <v>北京多彩</v>
      </c>
      <c r="L1933" s="20" t="s">
        <v>2509</v>
      </c>
      <c r="M1933" s="47"/>
      <c r="N1933" s="20" t="s">
        <v>42</v>
      </c>
      <c r="O1933" s="20" t="s">
        <v>82</v>
      </c>
      <c r="P1933" s="47">
        <v>0</v>
      </c>
      <c r="Q1933" s="48" t="s">
        <v>2510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</v>
      </c>
      <c r="AB1933" s="24">
        <v>0.065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ht="14.25" spans="1:34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2511</v>
      </c>
      <c r="F1934" s="20" t="s">
        <v>2511</v>
      </c>
      <c r="G1934" s="20" t="s">
        <v>2511</v>
      </c>
      <c r="H1934" s="20" t="s">
        <v>1999</v>
      </c>
      <c r="I1934" s="20" t="s">
        <v>2000</v>
      </c>
      <c r="J1934" s="20" t="s">
        <v>2001</v>
      </c>
      <c r="K1934" s="20" t="str">
        <f>VLOOKUP(H1934,[1]媒体表!C:T,18,0)</f>
        <v>北京多彩</v>
      </c>
      <c r="L1934" s="20" t="s">
        <v>2512</v>
      </c>
      <c r="M1934" s="47"/>
      <c r="N1934" s="20" t="s">
        <v>42</v>
      </c>
      <c r="O1934" s="20" t="s">
        <v>82</v>
      </c>
      <c r="P1934" s="47">
        <v>0</v>
      </c>
      <c r="Q1934" s="48" t="s">
        <v>2513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30799.8707374292</v>
      </c>
      <c r="AB1934" s="24">
        <v>0.065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ht="14.25" spans="1:34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2514</v>
      </c>
      <c r="F1935" s="20" t="s">
        <v>2514</v>
      </c>
      <c r="G1935" s="20" t="s">
        <v>2514</v>
      </c>
      <c r="H1935" s="20" t="s">
        <v>1999</v>
      </c>
      <c r="I1935" s="20" t="s">
        <v>2000</v>
      </c>
      <c r="J1935" s="20" t="s">
        <v>2001</v>
      </c>
      <c r="K1935" s="20" t="str">
        <f>VLOOKUP(H1935,[1]媒体表!C:T,18,0)</f>
        <v>北京多彩</v>
      </c>
      <c r="L1935" s="20" t="s">
        <v>2515</v>
      </c>
      <c r="M1935" s="47"/>
      <c r="N1935" s="20" t="s">
        <v>42</v>
      </c>
      <c r="O1935" s="20" t="s">
        <v>82</v>
      </c>
      <c r="P1935" s="47">
        <v>0</v>
      </c>
      <c r="Q1935" s="48" t="s">
        <v>2516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</v>
      </c>
      <c r="AB1935" s="24">
        <v>0.065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ht="14.25" spans="1:34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2517</v>
      </c>
      <c r="F1936" s="20" t="s">
        <v>2517</v>
      </c>
      <c r="G1936" s="20" t="s">
        <v>2517</v>
      </c>
      <c r="H1936" s="20" t="s">
        <v>1999</v>
      </c>
      <c r="I1936" s="20" t="s">
        <v>2000</v>
      </c>
      <c r="J1936" s="20" t="s">
        <v>2001</v>
      </c>
      <c r="K1936" s="20" t="str">
        <f>VLOOKUP(H1936,[1]媒体表!C:T,18,0)</f>
        <v>北京多彩</v>
      </c>
      <c r="L1936" s="20" t="s">
        <v>2517</v>
      </c>
      <c r="M1936" s="47"/>
      <c r="N1936" s="20" t="s">
        <v>42</v>
      </c>
      <c r="O1936" s="20" t="s">
        <v>82</v>
      </c>
      <c r="P1936" s="47">
        <v>0</v>
      </c>
      <c r="Q1936" s="48" t="s">
        <v>2518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</v>
      </c>
      <c r="AB1936" s="24">
        <v>0.065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ht="14.25" spans="1:34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2519</v>
      </c>
      <c r="F1937" s="20" t="s">
        <v>2519</v>
      </c>
      <c r="G1937" s="20" t="s">
        <v>2519</v>
      </c>
      <c r="H1937" s="20" t="s">
        <v>1999</v>
      </c>
      <c r="I1937" s="20" t="s">
        <v>2000</v>
      </c>
      <c r="J1937" s="20" t="s">
        <v>2001</v>
      </c>
      <c r="K1937" s="20" t="str">
        <f>VLOOKUP(H1937,[1]媒体表!C:T,18,0)</f>
        <v>北京多彩</v>
      </c>
      <c r="L1937" s="20" t="s">
        <v>2519</v>
      </c>
      <c r="M1937" s="47"/>
      <c r="N1937" s="20" t="s">
        <v>42</v>
      </c>
      <c r="O1937" s="20" t="s">
        <v>43</v>
      </c>
      <c r="P1937" s="47">
        <v>0.04</v>
      </c>
      <c r="Q1937" s="48" t="s">
        <v>2520</v>
      </c>
      <c r="R1937" s="40"/>
      <c r="S1937" s="34">
        <v>486.700000000001</v>
      </c>
      <c r="T1937" s="34"/>
      <c r="U1937" s="32">
        <v>0</v>
      </c>
      <c r="V1937" s="32">
        <f t="shared" si="222"/>
        <v>486.700000000001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0.065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ht="14.25" spans="1:34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1814</v>
      </c>
      <c r="F1938" s="20" t="s">
        <v>1814</v>
      </c>
      <c r="G1938" s="20" t="s">
        <v>1814</v>
      </c>
      <c r="H1938" s="20" t="s">
        <v>1999</v>
      </c>
      <c r="I1938" s="20" t="s">
        <v>2000</v>
      </c>
      <c r="J1938" s="20" t="s">
        <v>2001</v>
      </c>
      <c r="K1938" s="20" t="str">
        <f>VLOOKUP(H1938,[1]媒体表!C:T,18,0)</f>
        <v>北京多彩</v>
      </c>
      <c r="L1938" s="20" t="s">
        <v>1814</v>
      </c>
      <c r="M1938" s="47"/>
      <c r="N1938" s="20" t="s">
        <v>42</v>
      </c>
      <c r="O1938" s="20" t="s">
        <v>43</v>
      </c>
      <c r="P1938" s="47">
        <v>0.01</v>
      </c>
      <c r="Q1938" s="48" t="s">
        <v>2521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165183.168316832</v>
      </c>
      <c r="X1938" s="32"/>
      <c r="Y1938" s="32">
        <f t="shared" si="225"/>
        <v>165183.168316832</v>
      </c>
      <c r="Z1938" s="32">
        <f t="shared" si="221"/>
        <v>1651.8316831683</v>
      </c>
      <c r="AA1938" s="34">
        <v>109438.436128638</v>
      </c>
      <c r="AB1938" s="24">
        <v>0.065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ht="14.25" spans="1:34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1814</v>
      </c>
      <c r="F1939" s="20" t="s">
        <v>1814</v>
      </c>
      <c r="G1939" s="20" t="s">
        <v>1814</v>
      </c>
      <c r="H1939" s="20" t="s">
        <v>1999</v>
      </c>
      <c r="I1939" s="20" t="s">
        <v>2000</v>
      </c>
      <c r="J1939" s="20" t="s">
        <v>2001</v>
      </c>
      <c r="K1939" s="20" t="str">
        <f>VLOOKUP(H1939,[1]媒体表!C:T,18,0)</f>
        <v>北京多彩</v>
      </c>
      <c r="L1939" s="20" t="s">
        <v>1814</v>
      </c>
      <c r="M1939" s="47"/>
      <c r="N1939" s="20" t="s">
        <v>42</v>
      </c>
      <c r="O1939" s="20" t="s">
        <v>82</v>
      </c>
      <c r="P1939" s="47">
        <v>0</v>
      </c>
      <c r="Q1939" s="48" t="s">
        <v>2521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0.065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ht="14.25" spans="1:34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2522</v>
      </c>
      <c r="F1940" s="20" t="s">
        <v>2522</v>
      </c>
      <c r="G1940" s="20" t="s">
        <v>2522</v>
      </c>
      <c r="H1940" s="20" t="s">
        <v>1999</v>
      </c>
      <c r="I1940" s="20" t="s">
        <v>2000</v>
      </c>
      <c r="J1940" s="20" t="s">
        <v>2001</v>
      </c>
      <c r="K1940" s="20" t="str">
        <f>VLOOKUP(H1940,[1]媒体表!C:T,18,0)</f>
        <v>北京多彩</v>
      </c>
      <c r="L1940" s="20" t="s">
        <v>2523</v>
      </c>
      <c r="M1940" s="47"/>
      <c r="N1940" s="20" t="s">
        <v>59</v>
      </c>
      <c r="O1940" s="20" t="s">
        <v>43</v>
      </c>
      <c r="P1940" s="47">
        <v>0.1</v>
      </c>
      <c r="Q1940" s="48" t="s">
        <v>2524</v>
      </c>
      <c r="R1940" s="40"/>
      <c r="S1940" s="34">
        <v>628.409999999999</v>
      </c>
      <c r="T1940" s="34"/>
      <c r="U1940" s="32">
        <v>0</v>
      </c>
      <c r="V1940" s="32">
        <f t="shared" si="222"/>
        <v>628.409999999999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ht="14.25" spans="1:34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2525</v>
      </c>
      <c r="F1941" s="20" t="s">
        <v>2525</v>
      </c>
      <c r="G1941" s="20" t="s">
        <v>2525</v>
      </c>
      <c r="H1941" s="20" t="s">
        <v>1999</v>
      </c>
      <c r="I1941" s="20" t="s">
        <v>2000</v>
      </c>
      <c r="J1941" s="20" t="s">
        <v>2001</v>
      </c>
      <c r="K1941" s="20" t="str">
        <f>VLOOKUP(H1941,[1]媒体表!C:T,18,0)</f>
        <v>北京多彩</v>
      </c>
      <c r="L1941" s="20" t="s">
        <v>2525</v>
      </c>
      <c r="M1941" s="47"/>
      <c r="N1941" s="20" t="s">
        <v>42</v>
      </c>
      <c r="O1941" s="20" t="s">
        <v>82</v>
      </c>
      <c r="P1941" s="47">
        <v>0</v>
      </c>
      <c r="Q1941" s="48" t="s">
        <v>2526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3631.90432340144</v>
      </c>
      <c r="AB1941" s="24">
        <v>0.065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ht="14.25" spans="1:34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2527</v>
      </c>
      <c r="F1942" s="20" t="s">
        <v>2527</v>
      </c>
      <c r="G1942" s="20" t="s">
        <v>2527</v>
      </c>
      <c r="H1942" s="20" t="s">
        <v>1999</v>
      </c>
      <c r="I1942" s="20" t="s">
        <v>2000</v>
      </c>
      <c r="J1942" s="20" t="s">
        <v>2001</v>
      </c>
      <c r="K1942" s="20" t="str">
        <f>VLOOKUP(H1942,[1]媒体表!C:T,18,0)</f>
        <v>北京多彩</v>
      </c>
      <c r="L1942" s="20" t="s">
        <v>2527</v>
      </c>
      <c r="M1942" s="47"/>
      <c r="N1942" s="20" t="s">
        <v>42</v>
      </c>
      <c r="O1942" s="20" t="s">
        <v>82</v>
      </c>
      <c r="P1942" s="47">
        <v>0</v>
      </c>
      <c r="Q1942" s="48" t="s">
        <v>2528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</v>
      </c>
      <c r="AB1942" s="24">
        <v>0.065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ht="14.25" spans="1:34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2529</v>
      </c>
      <c r="F1943" s="20" t="s">
        <v>2529</v>
      </c>
      <c r="G1943" s="20" t="s">
        <v>2529</v>
      </c>
      <c r="H1943" s="20" t="s">
        <v>1999</v>
      </c>
      <c r="I1943" s="20" t="s">
        <v>2000</v>
      </c>
      <c r="J1943" s="20" t="s">
        <v>2001</v>
      </c>
      <c r="K1943" s="20" t="str">
        <f>VLOOKUP(H1943,[1]媒体表!C:T,18,0)</f>
        <v>北京多彩</v>
      </c>
      <c r="L1943" s="20" t="s">
        <v>2529</v>
      </c>
      <c r="M1943" s="47"/>
      <c r="N1943" s="20" t="s">
        <v>42</v>
      </c>
      <c r="O1943" s="20" t="s">
        <v>43</v>
      </c>
      <c r="P1943" s="47">
        <v>0.03</v>
      </c>
      <c r="Q1943" s="48" t="s">
        <v>2530</v>
      </c>
      <c r="R1943" s="40"/>
      <c r="S1943" s="34">
        <v>806.199999999997</v>
      </c>
      <c r="T1943" s="34"/>
      <c r="U1943" s="50">
        <v>806.199999999997</v>
      </c>
      <c r="V1943" s="32">
        <f t="shared" si="222"/>
        <v>0</v>
      </c>
      <c r="W1943" s="32">
        <f t="shared" si="223"/>
        <v>782.718446601939</v>
      </c>
      <c r="X1943" s="32"/>
      <c r="Y1943" s="32">
        <f t="shared" si="225"/>
        <v>782.718446601939</v>
      </c>
      <c r="Z1943" s="32">
        <f t="shared" si="221"/>
        <v>23.4815533980582</v>
      </c>
      <c r="AA1943" s="34">
        <v>0</v>
      </c>
      <c r="AB1943" s="24">
        <v>0.065</v>
      </c>
      <c r="AC1943" s="36"/>
      <c r="AD1943" s="36"/>
      <c r="AE1943" s="34" t="s">
        <v>2531</v>
      </c>
      <c r="AF1943" s="34" t="s">
        <v>53</v>
      </c>
      <c r="AG1943" s="24">
        <v>0</v>
      </c>
      <c r="AH1943" s="38" t="e">
        <v>#N/A</v>
      </c>
    </row>
    <row r="1944" ht="14.25" spans="1:34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2529</v>
      </c>
      <c r="F1944" s="20" t="s">
        <v>2529</v>
      </c>
      <c r="G1944" s="20" t="s">
        <v>2529</v>
      </c>
      <c r="H1944" s="20" t="s">
        <v>1999</v>
      </c>
      <c r="I1944" s="20" t="s">
        <v>2000</v>
      </c>
      <c r="J1944" s="20" t="s">
        <v>2001</v>
      </c>
      <c r="K1944" s="20" t="str">
        <f>VLOOKUP(H1944,[1]媒体表!C:T,18,0)</f>
        <v>北京多彩</v>
      </c>
      <c r="L1944" s="20" t="s">
        <v>2529</v>
      </c>
      <c r="M1944" s="47"/>
      <c r="N1944" s="20" t="s">
        <v>42</v>
      </c>
      <c r="O1944" s="20" t="s">
        <v>82</v>
      </c>
      <c r="P1944" s="47">
        <v>0</v>
      </c>
      <c r="Q1944" s="48" t="s">
        <v>2530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</v>
      </c>
      <c r="X1944" s="32"/>
      <c r="Y1944" s="32">
        <f t="shared" si="225"/>
        <v>10005.7</v>
      </c>
      <c r="Z1944" s="32">
        <f t="shared" si="221"/>
        <v>-5270.2</v>
      </c>
      <c r="AA1944" s="34">
        <f>3398.21101320216+5270.2</f>
        <v>8668.41101320216</v>
      </c>
      <c r="AB1944" s="24">
        <v>0.065</v>
      </c>
      <c r="AC1944" s="36"/>
      <c r="AD1944" s="36"/>
      <c r="AE1944" s="34" t="s">
        <v>2531</v>
      </c>
      <c r="AF1944" s="34" t="s">
        <v>53</v>
      </c>
      <c r="AG1944" s="24">
        <v>0</v>
      </c>
      <c r="AH1944" s="38" t="e">
        <v>#N/A</v>
      </c>
    </row>
    <row r="1945" ht="14.25" spans="1:34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2532</v>
      </c>
      <c r="F1945" s="20" t="s">
        <v>2532</v>
      </c>
      <c r="G1945" s="20" t="s">
        <v>2532</v>
      </c>
      <c r="H1945" s="20" t="s">
        <v>1999</v>
      </c>
      <c r="I1945" s="20" t="s">
        <v>2000</v>
      </c>
      <c r="J1945" s="20" t="s">
        <v>2001</v>
      </c>
      <c r="K1945" s="20" t="str">
        <f>VLOOKUP(H1945,[1]媒体表!C:T,18,0)</f>
        <v>北京多彩</v>
      </c>
      <c r="L1945" s="20" t="s">
        <v>2532</v>
      </c>
      <c r="M1945" s="47"/>
      <c r="N1945" s="20" t="s">
        <v>42</v>
      </c>
      <c r="O1945" s="20" t="s">
        <v>43</v>
      </c>
      <c r="P1945" s="47">
        <v>0.03</v>
      </c>
      <c r="Q1945" s="48" t="s">
        <v>2533</v>
      </c>
      <c r="R1945" s="40"/>
      <c r="S1945" s="34">
        <v>700.259999999998</v>
      </c>
      <c r="T1945" s="34"/>
      <c r="U1945" s="50">
        <v>700.259999999998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679.864077669901</v>
      </c>
      <c r="X1945" s="32"/>
      <c r="Y1945" s="32"/>
      <c r="Z1945" s="32">
        <f t="shared" si="221"/>
        <v>20.3959223300971</v>
      </c>
      <c r="AA1945" s="34">
        <v>0</v>
      </c>
      <c r="AB1945" s="24">
        <v>0.065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ht="14.25" spans="1:34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2532</v>
      </c>
      <c r="F1946" s="20" t="s">
        <v>2532</v>
      </c>
      <c r="G1946" s="20" t="s">
        <v>2532</v>
      </c>
      <c r="H1946" s="20" t="s">
        <v>1999</v>
      </c>
      <c r="I1946" s="20" t="s">
        <v>2000</v>
      </c>
      <c r="J1946" s="20" t="s">
        <v>2001</v>
      </c>
      <c r="K1946" s="20" t="str">
        <f>VLOOKUP(H1946,[1]媒体表!C:T,18,0)</f>
        <v>北京多彩</v>
      </c>
      <c r="L1946" s="20" t="s">
        <v>2532</v>
      </c>
      <c r="M1946" s="47"/>
      <c r="N1946" s="20" t="s">
        <v>42</v>
      </c>
      <c r="O1946" s="20" t="s">
        <v>82</v>
      </c>
      <c r="P1946" s="47">
        <v>0</v>
      </c>
      <c r="Q1946" s="48" t="s">
        <v>2533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</v>
      </c>
      <c r="AB1946" s="24">
        <v>0.065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ht="14.25" spans="1:34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1816</v>
      </c>
      <c r="F1947" s="20" t="s">
        <v>1816</v>
      </c>
      <c r="G1947" s="20" t="s">
        <v>1816</v>
      </c>
      <c r="H1947" s="20" t="s">
        <v>1999</v>
      </c>
      <c r="I1947" s="20" t="s">
        <v>2000</v>
      </c>
      <c r="J1947" s="20" t="s">
        <v>2001</v>
      </c>
      <c r="K1947" s="20" t="str">
        <f>VLOOKUP(H1947,[1]媒体表!C:T,18,0)</f>
        <v>北京多彩</v>
      </c>
      <c r="L1947" s="20" t="s">
        <v>1816</v>
      </c>
      <c r="M1947" s="47"/>
      <c r="N1947" s="20" t="s">
        <v>42</v>
      </c>
      <c r="O1947" s="20" t="s">
        <v>43</v>
      </c>
      <c r="P1947" s="47">
        <v>0.02</v>
      </c>
      <c r="Q1947" s="48" t="s">
        <v>2534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31108.8</v>
      </c>
      <c r="W1947" s="32">
        <f t="shared" si="227"/>
        <v>119137.352941176</v>
      </c>
      <c r="X1947" s="32"/>
      <c r="Y1947" s="32">
        <f t="shared" ref="Y1947:Y1951" si="228">W1947+X1947</f>
        <v>119137.352941176</v>
      </c>
      <c r="Z1947" s="32">
        <f t="shared" si="221"/>
        <v>2382.74705882353</v>
      </c>
      <c r="AA1947" s="34">
        <v>74517.0150216409</v>
      </c>
      <c r="AB1947" s="24">
        <v>0.065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ht="14.25" spans="1:34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1816</v>
      </c>
      <c r="F1948" s="20" t="s">
        <v>1816</v>
      </c>
      <c r="G1948" s="20" t="s">
        <v>1816</v>
      </c>
      <c r="H1948" s="20" t="s">
        <v>1999</v>
      </c>
      <c r="I1948" s="20" t="s">
        <v>2000</v>
      </c>
      <c r="J1948" s="20" t="s">
        <v>2001</v>
      </c>
      <c r="K1948" s="20" t="str">
        <f>VLOOKUP(H1948,[1]媒体表!C:T,18,0)</f>
        <v>北京多彩</v>
      </c>
      <c r="L1948" s="20" t="s">
        <v>2535</v>
      </c>
      <c r="M1948" s="47"/>
      <c r="N1948" s="20" t="s">
        <v>42</v>
      </c>
      <c r="O1948" s="20" t="s">
        <v>43</v>
      </c>
      <c r="P1948" s="47">
        <v>0.02</v>
      </c>
      <c r="Q1948" s="48" t="s">
        <v>2536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</v>
      </c>
      <c r="W1948" s="32">
        <f t="shared" si="227"/>
        <v>25335.3921568627</v>
      </c>
      <c r="X1948" s="32"/>
      <c r="Y1948" s="32">
        <f t="shared" si="228"/>
        <v>25335.3921568627</v>
      </c>
      <c r="Z1948" s="32">
        <f t="shared" si="221"/>
        <v>506.707843137254</v>
      </c>
      <c r="AA1948" s="34">
        <v>15846.5649212825</v>
      </c>
      <c r="AB1948" s="24">
        <v>0.065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ht="14.25" spans="1:34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2537</v>
      </c>
      <c r="F1949" s="20" t="s">
        <v>2538</v>
      </c>
      <c r="G1949" s="20" t="s">
        <v>2537</v>
      </c>
      <c r="H1949" s="20" t="s">
        <v>1999</v>
      </c>
      <c r="I1949" s="20" t="s">
        <v>2000</v>
      </c>
      <c r="J1949" s="20" t="s">
        <v>2001</v>
      </c>
      <c r="K1949" s="20" t="str">
        <f>VLOOKUP(H1949,[1]媒体表!C:T,18,0)</f>
        <v>北京多彩</v>
      </c>
      <c r="L1949" s="20" t="s">
        <v>2537</v>
      </c>
      <c r="M1949" s="47"/>
      <c r="N1949" s="20" t="s">
        <v>42</v>
      </c>
      <c r="O1949" s="20" t="s">
        <v>43</v>
      </c>
      <c r="P1949" s="47">
        <v>0.02</v>
      </c>
      <c r="Q1949" s="48" t="s">
        <v>2539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</v>
      </c>
      <c r="W1949" s="32">
        <f t="shared" si="227"/>
        <v>128227.352941176</v>
      </c>
      <c r="X1949" s="32"/>
      <c r="Y1949" s="32">
        <f t="shared" si="228"/>
        <v>128227.352941176</v>
      </c>
      <c r="Z1949" s="32">
        <f t="shared" si="221"/>
        <v>2564.54705882353</v>
      </c>
      <c r="AA1949" s="34">
        <v>80202.5506645317</v>
      </c>
      <c r="AB1949" s="24">
        <v>0.065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ht="14.25" spans="1:34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2537</v>
      </c>
      <c r="F1950" s="20" t="s">
        <v>2538</v>
      </c>
      <c r="G1950" s="20" t="s">
        <v>2537</v>
      </c>
      <c r="H1950" s="20" t="s">
        <v>1999</v>
      </c>
      <c r="I1950" s="20" t="s">
        <v>2000</v>
      </c>
      <c r="J1950" s="20" t="s">
        <v>2001</v>
      </c>
      <c r="K1950" s="20" t="str">
        <f>VLOOKUP(H1950,[1]媒体表!C:T,18,0)</f>
        <v>北京多彩</v>
      </c>
      <c r="L1950" s="20" t="s">
        <v>2540</v>
      </c>
      <c r="M1950" s="47"/>
      <c r="N1950" s="20" t="s">
        <v>59</v>
      </c>
      <c r="O1950" s="20" t="s">
        <v>43</v>
      </c>
      <c r="P1950" s="47">
        <v>0.06</v>
      </c>
      <c r="Q1950" s="48" t="s">
        <v>2541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ht="14.25" spans="1:34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2537</v>
      </c>
      <c r="F1951" s="20" t="s">
        <v>2538</v>
      </c>
      <c r="G1951" s="20" t="s">
        <v>2537</v>
      </c>
      <c r="H1951" s="20" t="s">
        <v>1999</v>
      </c>
      <c r="I1951" s="20" t="s">
        <v>2000</v>
      </c>
      <c r="J1951" s="20" t="s">
        <v>2001</v>
      </c>
      <c r="K1951" s="20" t="str">
        <f>VLOOKUP(H1951,[1]媒体表!C:T,18,0)</f>
        <v>北京多彩</v>
      </c>
      <c r="L1951" s="20" t="s">
        <v>2540</v>
      </c>
      <c r="M1951" s="47"/>
      <c r="N1951" s="20" t="s">
        <v>42</v>
      </c>
      <c r="O1951" s="20" t="s">
        <v>43</v>
      </c>
      <c r="P1951" s="47">
        <v>0.02</v>
      </c>
      <c r="Q1951" s="48" t="s">
        <v>2542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0.065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ht="14.25" spans="1:34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1999</v>
      </c>
      <c r="I1952" s="20" t="s">
        <v>2000</v>
      </c>
      <c r="J1952" s="20" t="s">
        <v>2001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2543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0.065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ht="14.25" spans="1:34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1817</v>
      </c>
      <c r="F1953" s="20" t="s">
        <v>1817</v>
      </c>
      <c r="G1953" s="20" t="s">
        <v>1817</v>
      </c>
      <c r="H1953" s="20" t="s">
        <v>1999</v>
      </c>
      <c r="I1953" s="20" t="s">
        <v>2000</v>
      </c>
      <c r="J1953" s="20" t="s">
        <v>2001</v>
      </c>
      <c r="K1953" s="20" t="str">
        <f>VLOOKUP(H1953,[1]媒体表!C:T,18,0)</f>
        <v>北京多彩</v>
      </c>
      <c r="L1953" s="20" t="s">
        <v>1817</v>
      </c>
      <c r="M1953" s="47"/>
      <c r="N1953" s="20" t="s">
        <v>42</v>
      </c>
      <c r="O1953" s="20" t="s">
        <v>43</v>
      </c>
      <c r="P1953" s="47">
        <v>0.03</v>
      </c>
      <c r="Q1953" s="48" t="s">
        <v>2544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</v>
      </c>
      <c r="X1953" s="32"/>
      <c r="Y1953" s="32">
        <f t="shared" ref="Y1953:Y1960" si="229">W1953+X1953</f>
        <v>3524.43689320388</v>
      </c>
      <c r="Z1953" s="32">
        <f t="shared" si="221"/>
        <v>105.733106796117</v>
      </c>
      <c r="AA1953" s="34">
        <v>0</v>
      </c>
      <c r="AB1953" s="24">
        <v>0.065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ht="14.25" spans="1:34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2545</v>
      </c>
      <c r="F1954" s="20" t="s">
        <v>2545</v>
      </c>
      <c r="G1954" s="20" t="s">
        <v>2545</v>
      </c>
      <c r="H1954" s="20" t="s">
        <v>1999</v>
      </c>
      <c r="I1954" s="20" t="s">
        <v>2000</v>
      </c>
      <c r="J1954" s="20" t="s">
        <v>2001</v>
      </c>
      <c r="K1954" s="20" t="str">
        <f>VLOOKUP(H1954,[1]媒体表!C:T,18,0)</f>
        <v>北京多彩</v>
      </c>
      <c r="L1954" s="20" t="s">
        <v>2545</v>
      </c>
      <c r="M1954" s="47"/>
      <c r="N1954" s="20" t="s">
        <v>42</v>
      </c>
      <c r="O1954" s="20" t="s">
        <v>43</v>
      </c>
      <c r="P1954" s="47">
        <v>0.03</v>
      </c>
      <c r="Q1954" s="48" t="s">
        <v>2546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0.065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ht="14.25" spans="1:34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2547</v>
      </c>
      <c r="F1955" s="20" t="s">
        <v>2547</v>
      </c>
      <c r="G1955" s="20" t="s">
        <v>2547</v>
      </c>
      <c r="H1955" s="20" t="s">
        <v>1999</v>
      </c>
      <c r="I1955" s="20" t="s">
        <v>2000</v>
      </c>
      <c r="J1955" s="20" t="s">
        <v>2001</v>
      </c>
      <c r="K1955" s="20" t="str">
        <f>VLOOKUP(H1955,[1]媒体表!C:T,18,0)</f>
        <v>北京多彩</v>
      </c>
      <c r="L1955" s="20" t="s">
        <v>2547</v>
      </c>
      <c r="M1955" s="47"/>
      <c r="N1955" s="20" t="s">
        <v>42</v>
      </c>
      <c r="O1955" s="20" t="s">
        <v>43</v>
      </c>
      <c r="P1955" s="47">
        <v>0.02</v>
      </c>
      <c r="Q1955" s="48" t="s">
        <v>2548</v>
      </c>
      <c r="R1955" s="40"/>
      <c r="S1955" s="34">
        <v>0</v>
      </c>
      <c r="T1955" s="34">
        <v>20400</v>
      </c>
      <c r="U1955" s="49">
        <v>17725.94</v>
      </c>
      <c r="V1955" s="32">
        <f t="shared" si="226"/>
        <v>2674.06</v>
      </c>
      <c r="W1955" s="32">
        <f t="shared" si="227"/>
        <v>17378.3725490196</v>
      </c>
      <c r="X1955" s="32"/>
      <c r="Y1955" s="32"/>
      <c r="Z1955" s="32">
        <f t="shared" si="221"/>
        <v>347.567450980394</v>
      </c>
      <c r="AA1955" s="34">
        <v>15600.2395402617</v>
      </c>
      <c r="AB1955" s="24">
        <v>0.065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ht="14.25" spans="1:34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2547</v>
      </c>
      <c r="F1956" s="20" t="s">
        <v>2547</v>
      </c>
      <c r="G1956" s="20" t="s">
        <v>2547</v>
      </c>
      <c r="H1956" s="20" t="s">
        <v>1999</v>
      </c>
      <c r="I1956" s="20" t="s">
        <v>2000</v>
      </c>
      <c r="J1956" s="20" t="s">
        <v>2001</v>
      </c>
      <c r="K1956" s="20" t="str">
        <f>VLOOKUP(H1956,[1]媒体表!C:T,18,0)</f>
        <v>北京多彩</v>
      </c>
      <c r="L1956" s="20" t="s">
        <v>2547</v>
      </c>
      <c r="M1956" s="47"/>
      <c r="N1956" s="20" t="s">
        <v>42</v>
      </c>
      <c r="O1956" s="20" t="s">
        <v>43</v>
      </c>
      <c r="P1956" s="47">
        <v>0.03</v>
      </c>
      <c r="Q1956" s="48" t="s">
        <v>2548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</v>
      </c>
      <c r="X1956" s="32"/>
      <c r="Y1956" s="32"/>
      <c r="Z1956" s="32">
        <f t="shared" si="221"/>
        <v>224.693009708738</v>
      </c>
      <c r="AA1956" s="34">
        <v>0</v>
      </c>
      <c r="AB1956" s="24">
        <v>0.065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ht="14.25" spans="1:34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1999</v>
      </c>
      <c r="I1957" s="20" t="s">
        <v>2000</v>
      </c>
      <c r="J1957" s="20" t="s">
        <v>2001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2549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0.065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ht="14.25" spans="1:34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2550</v>
      </c>
      <c r="F1958" s="20" t="s">
        <v>2550</v>
      </c>
      <c r="G1958" s="20" t="s">
        <v>2550</v>
      </c>
      <c r="H1958" s="20" t="s">
        <v>1999</v>
      </c>
      <c r="I1958" s="20" t="s">
        <v>2000</v>
      </c>
      <c r="J1958" s="20" t="s">
        <v>2001</v>
      </c>
      <c r="K1958" s="20" t="str">
        <f>VLOOKUP(H1958,[1]媒体表!C:T,18,0)</f>
        <v>北京多彩</v>
      </c>
      <c r="L1958" s="20" t="s">
        <v>2550</v>
      </c>
      <c r="M1958" s="47"/>
      <c r="N1958" s="20" t="s">
        <v>42</v>
      </c>
      <c r="O1958" s="20" t="s">
        <v>43</v>
      </c>
      <c r="P1958" s="47">
        <v>0.03</v>
      </c>
      <c r="Q1958" s="48" t="s">
        <v>2551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0.065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ht="14.25" spans="1:34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1999</v>
      </c>
      <c r="I1959" s="20" t="s">
        <v>2000</v>
      </c>
      <c r="J1959" s="20" t="s">
        <v>2001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2552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ht="14.25" spans="1:34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2553</v>
      </c>
      <c r="F1960" s="20" t="s">
        <v>2553</v>
      </c>
      <c r="G1960" s="20" t="s">
        <v>2553</v>
      </c>
      <c r="H1960" s="20" t="s">
        <v>1999</v>
      </c>
      <c r="I1960" s="20" t="s">
        <v>2000</v>
      </c>
      <c r="J1960" s="20" t="s">
        <v>2001</v>
      </c>
      <c r="K1960" s="20" t="str">
        <f>VLOOKUP(H1960,[1]媒体表!C:T,18,0)</f>
        <v>北京多彩</v>
      </c>
      <c r="L1960" s="20" t="s">
        <v>2554</v>
      </c>
      <c r="M1960" s="47"/>
      <c r="N1960" s="20" t="s">
        <v>42</v>
      </c>
      <c r="O1960" s="20" t="s">
        <v>82</v>
      </c>
      <c r="P1960" s="47">
        <v>0</v>
      </c>
      <c r="Q1960" s="48" t="s">
        <v>2555</v>
      </c>
      <c r="R1960" s="40"/>
      <c r="S1960" s="34">
        <v>477.310000000005</v>
      </c>
      <c r="T1960" s="34">
        <v>5145.19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3447.75816477419</v>
      </c>
      <c r="AB1960" s="24">
        <v>0.065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ht="14.25" spans="1:34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1999</v>
      </c>
      <c r="I1961" s="20" t="s">
        <v>2000</v>
      </c>
      <c r="J1961" s="20" t="s">
        <v>2001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2556</v>
      </c>
      <c r="R1961" s="40"/>
      <c r="S1961" s="34">
        <v>-9.59999999997672</v>
      </c>
      <c r="T1961" s="34"/>
      <c r="U1961" s="32">
        <v>0</v>
      </c>
      <c r="V1961" s="32">
        <f t="shared" si="226"/>
        <v>-9.59999999997672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0.065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ht="14.25" spans="1:34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2557</v>
      </c>
      <c r="F1962" s="20" t="s">
        <v>2558</v>
      </c>
      <c r="G1962" s="20" t="s">
        <v>2557</v>
      </c>
      <c r="H1962" s="20" t="s">
        <v>1999</v>
      </c>
      <c r="I1962" s="20" t="s">
        <v>2000</v>
      </c>
      <c r="J1962" s="20" t="s">
        <v>2001</v>
      </c>
      <c r="K1962" s="20" t="str">
        <f>VLOOKUP(H1962,[1]媒体表!C:T,18,0)</f>
        <v>北京多彩</v>
      </c>
      <c r="L1962" s="20" t="s">
        <v>2557</v>
      </c>
      <c r="M1962" s="47"/>
      <c r="N1962" s="20" t="s">
        <v>59</v>
      </c>
      <c r="O1962" s="20" t="s">
        <v>43</v>
      </c>
      <c r="P1962" s="47">
        <v>0.2</v>
      </c>
      <c r="Q1962" s="48" t="s">
        <v>2559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ht="14.25" spans="1:34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1999</v>
      </c>
      <c r="I1963" s="20" t="s">
        <v>2000</v>
      </c>
      <c r="J1963" s="20" t="s">
        <v>2001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2560</v>
      </c>
      <c r="R1963" s="40"/>
      <c r="S1963" s="34">
        <v>18939.3</v>
      </c>
      <c r="T1963" s="34"/>
      <c r="U1963" s="49">
        <v>387.9</v>
      </c>
      <c r="V1963" s="32">
        <f t="shared" si="226"/>
        <v>18551.4</v>
      </c>
      <c r="W1963" s="32">
        <f t="shared" si="227"/>
        <v>380.294117647059</v>
      </c>
      <c r="X1963" s="32"/>
      <c r="Y1963" s="32">
        <f t="shared" si="230"/>
        <v>380.294117647059</v>
      </c>
      <c r="Z1963" s="32">
        <f t="shared" si="221"/>
        <v>7.60588235294119</v>
      </c>
      <c r="AA1963" s="34">
        <v>0</v>
      </c>
      <c r="AB1963" s="24">
        <v>0.065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ht="14.25" spans="1:34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1999</v>
      </c>
      <c r="I1964" s="20" t="s">
        <v>2000</v>
      </c>
      <c r="J1964" s="20" t="s">
        <v>2001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2560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237.863119985044</v>
      </c>
      <c r="AB1964" s="24">
        <v>0.065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ht="14.25" spans="1:34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2561</v>
      </c>
      <c r="F1965" s="20" t="s">
        <v>2561</v>
      </c>
      <c r="G1965" s="20" t="s">
        <v>2561</v>
      </c>
      <c r="H1965" s="20" t="s">
        <v>1999</v>
      </c>
      <c r="I1965" s="20" t="s">
        <v>2000</v>
      </c>
      <c r="J1965" s="20" t="s">
        <v>2001</v>
      </c>
      <c r="K1965" s="20" t="str">
        <f>VLOOKUP(H1965,[1]媒体表!C:T,18,0)</f>
        <v>北京多彩</v>
      </c>
      <c r="L1965" s="20" t="s">
        <v>2496</v>
      </c>
      <c r="M1965" s="47"/>
      <c r="N1965" s="20" t="s">
        <v>42</v>
      </c>
      <c r="O1965" s="20" t="s">
        <v>43</v>
      </c>
      <c r="P1965" s="47">
        <v>0.02</v>
      </c>
      <c r="Q1965" s="48" t="s">
        <v>2497</v>
      </c>
      <c r="R1965" s="40"/>
      <c r="S1965" s="34">
        <v>33448.8</v>
      </c>
      <c r="T1965" s="34">
        <v>173400</v>
      </c>
      <c r="U1965" s="49">
        <v>84534.7</v>
      </c>
      <c r="V1965" s="32">
        <f t="shared" si="226"/>
        <v>122314.1</v>
      </c>
      <c r="W1965" s="32">
        <f t="shared" si="227"/>
        <v>82877.1568627451</v>
      </c>
      <c r="X1965" s="32"/>
      <c r="Y1965" s="32">
        <f t="shared" si="230"/>
        <v>82877.1568627451</v>
      </c>
      <c r="Z1965" s="32">
        <f t="shared" si="221"/>
        <v>1657.54313725491</v>
      </c>
      <c r="AA1965" s="34">
        <v>0</v>
      </c>
      <c r="AB1965" s="24">
        <v>0.065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ht="14.25" spans="1:34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2562</v>
      </c>
      <c r="F1966" s="20" t="s">
        <v>2562</v>
      </c>
      <c r="G1966" s="20" t="s">
        <v>2562</v>
      </c>
      <c r="H1966" s="20" t="s">
        <v>1999</v>
      </c>
      <c r="I1966" s="20" t="s">
        <v>2000</v>
      </c>
      <c r="J1966" s="20" t="s">
        <v>2001</v>
      </c>
      <c r="K1966" s="20" t="str">
        <f>VLOOKUP(H1966,[1]媒体表!C:T,18,0)</f>
        <v>北京多彩</v>
      </c>
      <c r="L1966" s="20" t="s">
        <v>2563</v>
      </c>
      <c r="M1966" s="47"/>
      <c r="N1966" s="20" t="s">
        <v>42</v>
      </c>
      <c r="O1966" s="20" t="s">
        <v>43</v>
      </c>
      <c r="P1966" s="47">
        <v>0.02</v>
      </c>
      <c r="Q1966" s="48" t="s">
        <v>2564</v>
      </c>
      <c r="R1966" s="40"/>
      <c r="S1966" s="34">
        <v>0</v>
      </c>
      <c r="T1966" s="34">
        <v>40800</v>
      </c>
      <c r="U1966" s="32">
        <v>26717.2</v>
      </c>
      <c r="V1966" s="32">
        <f t="shared" si="226"/>
        <v>14082.8</v>
      </c>
      <c r="W1966" s="32">
        <f t="shared" si="227"/>
        <v>26193.3333333333</v>
      </c>
      <c r="X1966" s="32"/>
      <c r="Y1966" s="32">
        <f t="shared" si="230"/>
        <v>26193.3333333333</v>
      </c>
      <c r="Z1966" s="32">
        <f t="shared" si="221"/>
        <v>523.866666666669</v>
      </c>
      <c r="AA1966" s="34">
        <v>16383.1826482712</v>
      </c>
      <c r="AB1966" s="24">
        <v>0.065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ht="14.25" spans="1:34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2562</v>
      </c>
      <c r="F1967" s="20" t="s">
        <v>2562</v>
      </c>
      <c r="G1967" s="20" t="s">
        <v>2562</v>
      </c>
      <c r="H1967" s="20" t="s">
        <v>1999</v>
      </c>
      <c r="I1967" s="20" t="s">
        <v>2000</v>
      </c>
      <c r="J1967" s="20" t="s">
        <v>2001</v>
      </c>
      <c r="K1967" s="20" t="str">
        <f>VLOOKUP(H1967,[1]媒体表!C:T,18,0)</f>
        <v>北京多彩</v>
      </c>
      <c r="L1967" s="20" t="s">
        <v>2562</v>
      </c>
      <c r="M1967" s="47"/>
      <c r="N1967" s="20" t="s">
        <v>42</v>
      </c>
      <c r="O1967" s="20" t="s">
        <v>43</v>
      </c>
      <c r="P1967" s="47">
        <v>0.02</v>
      </c>
      <c r="Q1967" s="48" t="s">
        <v>2565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</v>
      </c>
      <c r="W1967" s="32">
        <f t="shared" si="227"/>
        <v>95700.8823529412</v>
      </c>
      <c r="X1967" s="32"/>
      <c r="Y1967" s="32">
        <f t="shared" si="230"/>
        <v>95700.8823529412</v>
      </c>
      <c r="Z1967" s="32">
        <f t="shared" si="221"/>
        <v>1914.01764705882</v>
      </c>
      <c r="AA1967" s="34">
        <v>73688.5106096487</v>
      </c>
      <c r="AB1967" s="24">
        <v>0.065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ht="14.25" spans="1:34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2562</v>
      </c>
      <c r="F1968" s="20" t="s">
        <v>2562</v>
      </c>
      <c r="G1968" s="20" t="s">
        <v>2562</v>
      </c>
      <c r="H1968" s="20" t="s">
        <v>1999</v>
      </c>
      <c r="I1968" s="20" t="s">
        <v>2000</v>
      </c>
      <c r="J1968" s="20" t="s">
        <v>2001</v>
      </c>
      <c r="K1968" s="20" t="str">
        <f>VLOOKUP(H1968,[1]媒体表!C:T,18,0)</f>
        <v>北京多彩</v>
      </c>
      <c r="L1968" s="20" t="s">
        <v>2562</v>
      </c>
      <c r="M1968" s="47"/>
      <c r="N1968" s="20" t="s">
        <v>42</v>
      </c>
      <c r="O1968" s="20" t="s">
        <v>43</v>
      </c>
      <c r="P1968" s="47">
        <v>0.03</v>
      </c>
      <c r="Q1968" s="48" t="s">
        <v>2565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</v>
      </c>
      <c r="X1968" s="32"/>
      <c r="Y1968" s="32">
        <f t="shared" si="230"/>
        <v>21897.1844660194</v>
      </c>
      <c r="Z1968" s="32">
        <f t="shared" si="221"/>
        <v>656.915533980584</v>
      </c>
      <c r="AA1968" s="34">
        <v>0</v>
      </c>
      <c r="AB1968" s="24">
        <v>0.065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ht="14.25" spans="1:34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2566</v>
      </c>
      <c r="F1969" s="20" t="s">
        <v>2566</v>
      </c>
      <c r="G1969" s="20" t="s">
        <v>2566</v>
      </c>
      <c r="H1969" s="20" t="s">
        <v>1999</v>
      </c>
      <c r="I1969" s="20" t="s">
        <v>2000</v>
      </c>
      <c r="J1969" s="20" t="s">
        <v>2001</v>
      </c>
      <c r="K1969" s="20" t="str">
        <f>VLOOKUP(H1969,[1]媒体表!C:T,18,0)</f>
        <v>北京多彩</v>
      </c>
      <c r="L1969" s="20" t="s">
        <v>2566</v>
      </c>
      <c r="M1969" s="47"/>
      <c r="N1969" s="20" t="s">
        <v>42</v>
      </c>
      <c r="O1969" s="20" t="s">
        <v>82</v>
      </c>
      <c r="P1969" s="47">
        <v>0</v>
      </c>
      <c r="Q1969" s="48" t="s">
        <v>2567</v>
      </c>
      <c r="R1969" s="40"/>
      <c r="S1969" s="34">
        <v>1166.6</v>
      </c>
      <c r="T1969" s="34"/>
      <c r="U1969" s="32">
        <v>0</v>
      </c>
      <c r="V1969" s="32">
        <f t="shared" si="226"/>
        <v>1166.6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0.065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ht="14.25" spans="1:34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2568</v>
      </c>
      <c r="F1970" s="20" t="s">
        <v>2568</v>
      </c>
      <c r="G1970" s="20" t="s">
        <v>2568</v>
      </c>
      <c r="H1970" s="20" t="s">
        <v>1999</v>
      </c>
      <c r="I1970" s="20" t="s">
        <v>2000</v>
      </c>
      <c r="J1970" s="20" t="s">
        <v>2001</v>
      </c>
      <c r="K1970" s="20" t="str">
        <f>VLOOKUP(H1970,[1]媒体表!C:T,18,0)</f>
        <v>北京多彩</v>
      </c>
      <c r="L1970" s="20" t="s">
        <v>2568</v>
      </c>
      <c r="M1970" s="47"/>
      <c r="N1970" s="20" t="s">
        <v>42</v>
      </c>
      <c r="O1970" s="20" t="s">
        <v>43</v>
      </c>
      <c r="P1970" s="47">
        <v>0.04</v>
      </c>
      <c r="Q1970" s="48" t="s">
        <v>2569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0.065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ht="14.25" spans="1:34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1999</v>
      </c>
      <c r="I1971" s="20" t="s">
        <v>2000</v>
      </c>
      <c r="J1971" s="20" t="s">
        <v>2001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2570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</v>
      </c>
      <c r="X1971" s="32"/>
      <c r="Y1971" s="32">
        <f t="shared" si="230"/>
        <v>6005.39215686274</v>
      </c>
      <c r="Z1971" s="32">
        <f t="shared" si="221"/>
        <v>120.107843137255</v>
      </c>
      <c r="AA1971" s="34">
        <v>0</v>
      </c>
      <c r="AB1971" s="24">
        <v>0.065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ht="14.25" spans="1:34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1999</v>
      </c>
      <c r="I1972" s="20" t="s">
        <v>2000</v>
      </c>
      <c r="J1972" s="20" t="s">
        <v>2001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2570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6645.56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</v>
      </c>
      <c r="AB1972" s="24">
        <v>0.065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ht="14.25" spans="1:34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2571</v>
      </c>
      <c r="F1973" s="20" t="s">
        <v>2572</v>
      </c>
      <c r="G1973" s="20" t="s">
        <v>2571</v>
      </c>
      <c r="H1973" s="20" t="s">
        <v>1999</v>
      </c>
      <c r="I1973" s="20" t="s">
        <v>2000</v>
      </c>
      <c r="J1973" s="20" t="s">
        <v>2001</v>
      </c>
      <c r="K1973" s="20" t="str">
        <f>VLOOKUP(H1973,[1]媒体表!C:T,18,0)</f>
        <v>北京多彩</v>
      </c>
      <c r="L1973" s="20" t="s">
        <v>2573</v>
      </c>
      <c r="M1973" s="20"/>
      <c r="N1973" s="20" t="s">
        <v>42</v>
      </c>
      <c r="O1973" s="20" t="s">
        <v>82</v>
      </c>
      <c r="P1973" s="47">
        <v>0</v>
      </c>
      <c r="Q1973" s="48" t="s">
        <v>2574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94746.0500277626</v>
      </c>
      <c r="AB1973" s="24">
        <v>0.065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ht="14.25" spans="1:34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2571</v>
      </c>
      <c r="F1974" s="20" t="s">
        <v>2572</v>
      </c>
      <c r="G1974" s="20" t="s">
        <v>2571</v>
      </c>
      <c r="H1974" s="20" t="s">
        <v>1999</v>
      </c>
      <c r="I1974" s="20" t="s">
        <v>2000</v>
      </c>
      <c r="J1974" s="20" t="s">
        <v>2001</v>
      </c>
      <c r="K1974" s="20" t="str">
        <f>VLOOKUP(H1974,[1]媒体表!C:T,18,0)</f>
        <v>北京多彩</v>
      </c>
      <c r="L1974" s="20" t="s">
        <v>2575</v>
      </c>
      <c r="M1974" s="20"/>
      <c r="N1974" s="20" t="s">
        <v>42</v>
      </c>
      <c r="O1974" s="20" t="s">
        <v>82</v>
      </c>
      <c r="P1974" s="47">
        <v>0</v>
      </c>
      <c r="Q1974" s="48" t="s">
        <v>2576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</v>
      </c>
      <c r="AB1974" s="24">
        <v>0.065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ht="14.25" spans="1:34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2577</v>
      </c>
      <c r="F1975" s="20" t="s">
        <v>2578</v>
      </c>
      <c r="G1975" s="20" t="s">
        <v>2577</v>
      </c>
      <c r="H1975" s="20" t="s">
        <v>1999</v>
      </c>
      <c r="I1975" s="20" t="s">
        <v>2000</v>
      </c>
      <c r="J1975" s="20" t="s">
        <v>2001</v>
      </c>
      <c r="K1975" s="20" t="str">
        <f>VLOOKUP(H1975,[1]媒体表!C:T,18,0)</f>
        <v>北京多彩</v>
      </c>
      <c r="L1975" s="20" t="s">
        <v>2579</v>
      </c>
      <c r="M1975" s="20"/>
      <c r="N1975" s="20" t="s">
        <v>42</v>
      </c>
      <c r="O1975" s="20" t="s">
        <v>82</v>
      </c>
      <c r="P1975" s="47">
        <v>0</v>
      </c>
      <c r="Q1975" s="48" t="s">
        <v>2580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0.065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ht="14.25" spans="1:34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1999</v>
      </c>
      <c r="I1976" s="20" t="s">
        <v>2000</v>
      </c>
      <c r="J1976" s="20" t="s">
        <v>2001</v>
      </c>
      <c r="K1976" s="20" t="str">
        <f>VLOOKUP(H1976,[1]媒体表!C:T,18,0)</f>
        <v>北京多彩</v>
      </c>
      <c r="L1976" s="20" t="s">
        <v>2579</v>
      </c>
      <c r="M1976" s="20"/>
      <c r="N1976" s="20" t="s">
        <v>42</v>
      </c>
      <c r="O1976" s="20" t="s">
        <v>43</v>
      </c>
      <c r="P1976" s="47">
        <v>0.02</v>
      </c>
      <c r="Q1976" s="48" t="s">
        <v>2580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105295.05</v>
      </c>
      <c r="W1976" s="32">
        <f t="shared" si="227"/>
        <v>216769.558823529</v>
      </c>
      <c r="X1976" s="32"/>
      <c r="Y1976" s="32">
        <f t="shared" si="230"/>
        <v>216769.558823529</v>
      </c>
      <c r="Z1976" s="32">
        <f t="shared" si="221"/>
        <v>4335.39117647058</v>
      </c>
      <c r="AA1976" s="34">
        <v>168374.221036982</v>
      </c>
      <c r="AB1976" s="24">
        <v>0.065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ht="14.25" spans="1:34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2581</v>
      </c>
      <c r="F1977" s="20" t="s">
        <v>2581</v>
      </c>
      <c r="G1977" s="20" t="s">
        <v>2581</v>
      </c>
      <c r="H1977" s="20" t="s">
        <v>1999</v>
      </c>
      <c r="I1977" s="20" t="s">
        <v>2000</v>
      </c>
      <c r="J1977" s="20" t="s">
        <v>2001</v>
      </c>
      <c r="K1977" s="20" t="str">
        <f>VLOOKUP(H1977,[1]媒体表!C:T,18,0)</f>
        <v>北京多彩</v>
      </c>
      <c r="L1977" s="20" t="s">
        <v>2581</v>
      </c>
      <c r="M1977" s="20"/>
      <c r="N1977" s="20" t="s">
        <v>42</v>
      </c>
      <c r="O1977" s="20" t="s">
        <v>82</v>
      </c>
      <c r="P1977" s="47">
        <v>0</v>
      </c>
      <c r="Q1977" s="48" t="s">
        <v>2582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0.065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ht="14.25" spans="1:34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1817</v>
      </c>
      <c r="F1978" s="20" t="s">
        <v>1830</v>
      </c>
      <c r="G1978" s="20" t="s">
        <v>1817</v>
      </c>
      <c r="H1978" s="20" t="s">
        <v>1999</v>
      </c>
      <c r="I1978" s="20" t="s">
        <v>2000</v>
      </c>
      <c r="J1978" s="20" t="s">
        <v>2001</v>
      </c>
      <c r="K1978" s="20" t="str">
        <f>VLOOKUP(H1978,[1]媒体表!C:T,18,0)</f>
        <v>北京多彩</v>
      </c>
      <c r="L1978" s="20" t="s">
        <v>1817</v>
      </c>
      <c r="M1978" s="20"/>
      <c r="N1978" s="20" t="s">
        <v>42</v>
      </c>
      <c r="O1978" s="20" t="s">
        <v>43</v>
      </c>
      <c r="P1978" s="47">
        <v>0.02</v>
      </c>
      <c r="Q1978" s="48" t="s">
        <v>2544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57057.2843137255</v>
      </c>
      <c r="X1978" s="32"/>
      <c r="Y1978" s="32">
        <f t="shared" si="230"/>
        <v>57057.2843137255</v>
      </c>
      <c r="Z1978" s="32">
        <f t="shared" ref="Z1978:Z2041" si="231">U1978-W1978</f>
        <v>1141.14568627451</v>
      </c>
      <c r="AA1978" s="34">
        <v>37913.7501941409</v>
      </c>
      <c r="AB1978" s="24">
        <v>0.065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ht="14.25" spans="1:34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2583</v>
      </c>
      <c r="F1979" s="20" t="s">
        <v>2584</v>
      </c>
      <c r="G1979" s="20" t="s">
        <v>2583</v>
      </c>
      <c r="H1979" s="20" t="s">
        <v>1999</v>
      </c>
      <c r="I1979" s="20" t="s">
        <v>2000</v>
      </c>
      <c r="J1979" s="20" t="s">
        <v>2001</v>
      </c>
      <c r="K1979" s="20" t="str">
        <f>VLOOKUP(H1979,[1]媒体表!C:T,18,0)</f>
        <v>北京多彩</v>
      </c>
      <c r="L1979" s="20" t="s">
        <v>2583</v>
      </c>
      <c r="M1979" s="20"/>
      <c r="N1979" s="20" t="s">
        <v>42</v>
      </c>
      <c r="O1979" s="20" t="s">
        <v>82</v>
      </c>
      <c r="P1979" s="47">
        <v>0</v>
      </c>
      <c r="Q1979" s="48" t="s">
        <v>2585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464.619999999999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0.065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ht="14.25" spans="1:34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2586</v>
      </c>
      <c r="F1980" s="20" t="s">
        <v>2586</v>
      </c>
      <c r="G1980" s="20" t="s">
        <v>2586</v>
      </c>
      <c r="H1980" s="20" t="s">
        <v>1999</v>
      </c>
      <c r="I1980" s="20" t="s">
        <v>2000</v>
      </c>
      <c r="J1980" s="20" t="s">
        <v>2001</v>
      </c>
      <c r="K1980" s="20" t="str">
        <f>VLOOKUP(H1980,[1]媒体表!C:T,18,0)</f>
        <v>北京多彩</v>
      </c>
      <c r="L1980" s="20" t="s">
        <v>2587</v>
      </c>
      <c r="M1980" s="20"/>
      <c r="N1980" s="20" t="s">
        <v>42</v>
      </c>
      <c r="O1980" s="20" t="s">
        <v>82</v>
      </c>
      <c r="P1980" s="47">
        <v>0</v>
      </c>
      <c r="Q1980" s="48" t="s">
        <v>2588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481.200000000001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0.065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ht="14.25" spans="1:34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1999</v>
      </c>
      <c r="I1981" s="20" t="s">
        <v>2000</v>
      </c>
      <c r="J1981" s="20" t="s">
        <v>2001</v>
      </c>
      <c r="K1981" s="20" t="str">
        <f>VLOOKUP(H1981,[1]媒体表!C:T,18,0)</f>
        <v>北京多彩</v>
      </c>
      <c r="L1981" s="20" t="s">
        <v>2589</v>
      </c>
      <c r="M1981" s="47"/>
      <c r="N1981" s="20" t="s">
        <v>59</v>
      </c>
      <c r="O1981" s="20" t="s">
        <v>43</v>
      </c>
      <c r="P1981" s="47">
        <v>0.04</v>
      </c>
      <c r="Q1981" s="48" t="s">
        <v>2590</v>
      </c>
      <c r="R1981" s="40"/>
      <c r="S1981" s="34">
        <v>0</v>
      </c>
      <c r="T1981" s="34">
        <v>150000</v>
      </c>
      <c r="U1981" s="32">
        <v>65843.5899999999</v>
      </c>
      <c r="V1981" s="32">
        <f t="shared" si="226"/>
        <v>84156.4100000001</v>
      </c>
      <c r="W1981" s="32">
        <f t="shared" si="227"/>
        <v>63311.1442307691</v>
      </c>
      <c r="X1981" s="32"/>
      <c r="Y1981" s="32">
        <f t="shared" si="230"/>
        <v>63311.1442307691</v>
      </c>
      <c r="Z1981" s="32">
        <f t="shared" si="231"/>
        <v>2532.44576923077</v>
      </c>
      <c r="AA1981" s="34">
        <v>232534.458739082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ht="14.25" spans="1:34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1999</v>
      </c>
      <c r="I1982" s="20" t="s">
        <v>2000</v>
      </c>
      <c r="J1982" s="20" t="s">
        <v>2001</v>
      </c>
      <c r="K1982" s="20" t="str">
        <f>VLOOKUP(H1982,[1]媒体表!C:T,18,0)</f>
        <v>北京多彩</v>
      </c>
      <c r="L1982" s="20" t="s">
        <v>2589</v>
      </c>
      <c r="M1982" s="47"/>
      <c r="N1982" s="20" t="s">
        <v>59</v>
      </c>
      <c r="O1982" s="20" t="s">
        <v>43</v>
      </c>
      <c r="P1982" s="47">
        <v>0.04</v>
      </c>
      <c r="Q1982" s="48" t="s">
        <v>2591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97143.11</v>
      </c>
      <c r="W1982" s="32">
        <f t="shared" si="227"/>
        <v>435439.317307692</v>
      </c>
      <c r="X1982" s="32"/>
      <c r="Y1982" s="32">
        <f t="shared" si="230"/>
        <v>435439.317307692</v>
      </c>
      <c r="Z1982" s="32">
        <f t="shared" si="231"/>
        <v>17417.5726923077</v>
      </c>
      <c r="AA1982" s="34">
        <v>476368.200582826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ht="14.25" spans="1:34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1999</v>
      </c>
      <c r="I1983" s="20" t="s">
        <v>2000</v>
      </c>
      <c r="J1983" s="20" t="s">
        <v>2001</v>
      </c>
      <c r="K1983" s="20" t="str">
        <f>VLOOKUP(H1983,[1]媒体表!C:T,18,0)</f>
        <v>北京多彩</v>
      </c>
      <c r="L1983" s="20" t="s">
        <v>2589</v>
      </c>
      <c r="M1983" s="47"/>
      <c r="N1983" s="20" t="s">
        <v>59</v>
      </c>
      <c r="O1983" s="20" t="s">
        <v>43</v>
      </c>
      <c r="P1983" s="47">
        <v>0.06</v>
      </c>
      <c r="Q1983" s="48" t="s">
        <v>2590</v>
      </c>
      <c r="R1983" s="40"/>
      <c r="S1983" s="34">
        <v>28366.5900000001</v>
      </c>
      <c r="T1983" s="34">
        <v>15000</v>
      </c>
      <c r="U1983" s="32">
        <v>43366.5900000001</v>
      </c>
      <c r="V1983" s="32">
        <f t="shared" si="226"/>
        <v>0</v>
      </c>
      <c r="W1983" s="32">
        <f t="shared" si="227"/>
        <v>40911.8773584907</v>
      </c>
      <c r="X1983" s="32"/>
      <c r="Y1983" s="32">
        <f t="shared" si="230"/>
        <v>40911.8773584907</v>
      </c>
      <c r="Z1983" s="32">
        <f t="shared" si="231"/>
        <v>2454.71264150944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ht="14.25" spans="1:34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1999</v>
      </c>
      <c r="I1984" s="20" t="s">
        <v>2000</v>
      </c>
      <c r="J1984" s="20" t="s">
        <v>2001</v>
      </c>
      <c r="K1984" s="20" t="str">
        <f>VLOOKUP(H1984,[1]媒体表!C:T,18,0)</f>
        <v>北京多彩</v>
      </c>
      <c r="L1984" s="20" t="s">
        <v>2589</v>
      </c>
      <c r="M1984" s="47"/>
      <c r="N1984" s="20" t="s">
        <v>59</v>
      </c>
      <c r="O1984" s="20" t="s">
        <v>43</v>
      </c>
      <c r="P1984" s="47">
        <v>0.06</v>
      </c>
      <c r="Q1984" s="48" t="s">
        <v>2591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32066.0377358491</v>
      </c>
      <c r="X1984" s="32"/>
      <c r="Y1984" s="32">
        <f t="shared" si="230"/>
        <v>32066.0377358491</v>
      </c>
      <c r="Z1984" s="32">
        <f t="shared" si="231"/>
        <v>1923.96226415094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ht="14.25" spans="1:34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1999</v>
      </c>
      <c r="I1985" s="20" t="s">
        <v>2000</v>
      </c>
      <c r="J1985" s="20" t="s">
        <v>2001</v>
      </c>
      <c r="K1985" s="20" t="str">
        <f>VLOOKUP(H1985,[1]媒体表!C:T,18,0)</f>
        <v>北京多彩</v>
      </c>
      <c r="L1985" s="20" t="s">
        <v>2589</v>
      </c>
      <c r="M1985" s="47"/>
      <c r="N1985" s="20" t="s">
        <v>59</v>
      </c>
      <c r="O1985" s="20" t="s">
        <v>82</v>
      </c>
      <c r="P1985" s="47">
        <v>0</v>
      </c>
      <c r="Q1985" s="48" t="s">
        <v>2590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ht="14.25" spans="1:34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1999</v>
      </c>
      <c r="I1986" s="20" t="s">
        <v>2000</v>
      </c>
      <c r="J1986" s="20" t="s">
        <v>2001</v>
      </c>
      <c r="K1986" s="20" t="str">
        <f>VLOOKUP(H1986,[1]媒体表!C:T,18,0)</f>
        <v>北京多彩</v>
      </c>
      <c r="L1986" s="20" t="s">
        <v>2589</v>
      </c>
      <c r="M1986" s="47"/>
      <c r="N1986" s="20" t="s">
        <v>59</v>
      </c>
      <c r="O1986" s="20" t="s">
        <v>82</v>
      </c>
      <c r="P1986" s="47">
        <v>0</v>
      </c>
      <c r="Q1986" s="48" t="s">
        <v>2591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ht="14.25" spans="1:34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1999</v>
      </c>
      <c r="I1987" s="20" t="s">
        <v>2000</v>
      </c>
      <c r="J1987" s="20" t="s">
        <v>2001</v>
      </c>
      <c r="K1987" s="20" t="str">
        <f>VLOOKUP(H1987,[1]媒体表!C:T,18,0)</f>
        <v>北京多彩</v>
      </c>
      <c r="L1987" s="20" t="s">
        <v>2592</v>
      </c>
      <c r="M1987" s="47"/>
      <c r="N1987" s="20" t="s">
        <v>42</v>
      </c>
      <c r="O1987" s="20" t="s">
        <v>82</v>
      </c>
      <c r="P1987" s="47">
        <v>0</v>
      </c>
      <c r="Q1987" s="48" t="s">
        <v>2593</v>
      </c>
      <c r="R1987" s="40"/>
      <c r="S1987" s="34">
        <v>3252.8</v>
      </c>
      <c r="T1987" s="34">
        <v>20000</v>
      </c>
      <c r="U1987" s="49">
        <v>23252.8</v>
      </c>
      <c r="V1987" s="32">
        <f t="shared" si="226"/>
        <v>0</v>
      </c>
      <c r="W1987" s="32">
        <f t="shared" si="227"/>
        <v>23252.8</v>
      </c>
      <c r="X1987" s="32"/>
      <c r="Y1987" s="32">
        <f t="shared" si="230"/>
        <v>23252.8</v>
      </c>
      <c r="Z1987" s="32">
        <f t="shared" si="231"/>
        <v>0</v>
      </c>
      <c r="AA1987" s="34">
        <v>30427.2859689246</v>
      </c>
      <c r="AB1987" s="24">
        <v>0.065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ht="14.25" spans="1:34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2594</v>
      </c>
      <c r="F1988" s="20" t="s">
        <v>2594</v>
      </c>
      <c r="G1988" s="20" t="s">
        <v>2594</v>
      </c>
      <c r="H1988" s="20" t="s">
        <v>1999</v>
      </c>
      <c r="I1988" s="20" t="s">
        <v>2000</v>
      </c>
      <c r="J1988" s="20" t="s">
        <v>2001</v>
      </c>
      <c r="K1988" s="20" t="str">
        <f>VLOOKUP(H1988,[1]媒体表!C:T,18,0)</f>
        <v>北京多彩</v>
      </c>
      <c r="L1988" s="20" t="s">
        <v>2595</v>
      </c>
      <c r="M1988" s="20"/>
      <c r="N1988" s="20" t="s">
        <v>42</v>
      </c>
      <c r="O1988" s="20" t="s">
        <v>43</v>
      </c>
      <c r="P1988" s="47">
        <v>0.03</v>
      </c>
      <c r="Q1988" s="48" t="s">
        <v>2596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0.065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ht="14.25" spans="1:34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1999</v>
      </c>
      <c r="I1989" s="20" t="s">
        <v>2000</v>
      </c>
      <c r="J1989" s="20" t="s">
        <v>2001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2597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</v>
      </c>
      <c r="X1989" s="32"/>
      <c r="Y1989" s="32">
        <f t="shared" si="230"/>
        <v>4332.05882352941</v>
      </c>
      <c r="Z1989" s="32">
        <f t="shared" si="231"/>
        <v>86.6411764705881</v>
      </c>
      <c r="AA1989" s="34">
        <v>0</v>
      </c>
      <c r="AB1989" s="24">
        <v>0.065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ht="14.25" spans="1:34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1999</v>
      </c>
      <c r="I1990" s="20" t="s">
        <v>2000</v>
      </c>
      <c r="J1990" s="20" t="s">
        <v>2001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2597</v>
      </c>
      <c r="R1990" s="30"/>
      <c r="S1990" s="34">
        <v>0</v>
      </c>
      <c r="T1990" s="34">
        <v>40000</v>
      </c>
      <c r="U1990" s="49">
        <v>33327.3</v>
      </c>
      <c r="V1990" s="32">
        <f t="shared" si="226"/>
        <v>6672.7</v>
      </c>
      <c r="W1990" s="32">
        <f t="shared" si="227"/>
        <v>33327.3</v>
      </c>
      <c r="X1990" s="32"/>
      <c r="Y1990" s="32">
        <f t="shared" si="230"/>
        <v>33327.3</v>
      </c>
      <c r="Z1990" s="32">
        <f t="shared" si="231"/>
        <v>0</v>
      </c>
      <c r="AA1990" s="34">
        <v>23146.1235549251</v>
      </c>
      <c r="AB1990" s="24">
        <v>0.065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ht="14.25" spans="1:34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1999</v>
      </c>
      <c r="I1991" s="20" t="s">
        <v>2000</v>
      </c>
      <c r="J1991" s="20" t="s">
        <v>2001</v>
      </c>
      <c r="K1991" s="20" t="str">
        <f>VLOOKUP(H1991,[1]媒体表!C:T,18,0)</f>
        <v>北京多彩</v>
      </c>
      <c r="L1991" s="20" t="s">
        <v>2598</v>
      </c>
      <c r="M1991" s="20"/>
      <c r="N1991" s="20" t="s">
        <v>42</v>
      </c>
      <c r="O1991" s="20" t="s">
        <v>43</v>
      </c>
      <c r="P1991" s="47">
        <v>0.02</v>
      </c>
      <c r="Q1991" s="48" t="s">
        <v>2599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191195.392156863</v>
      </c>
      <c r="X1991" s="32"/>
      <c r="Y1991" s="32">
        <f t="shared" si="230"/>
        <v>191195.392156863</v>
      </c>
      <c r="Z1991" s="32">
        <f t="shared" si="231"/>
        <v>3823.90784313725</v>
      </c>
      <c r="AA1991" s="34">
        <v>119587.262581333</v>
      </c>
      <c r="AB1991" s="24">
        <v>0.065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ht="14.25" spans="1:34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1999</v>
      </c>
      <c r="I1992" s="20" t="s">
        <v>2000</v>
      </c>
      <c r="J1992" s="20" t="s">
        <v>2001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2600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</v>
      </c>
      <c r="X1992" s="32"/>
      <c r="Y1992" s="32">
        <f t="shared" si="230"/>
        <v>45701.7326732673</v>
      </c>
      <c r="Z1992" s="32">
        <f t="shared" si="231"/>
        <v>457.017326732675</v>
      </c>
      <c r="AA1992" s="34">
        <v>0</v>
      </c>
      <c r="AB1992" s="24">
        <v>0.065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ht="14.25" spans="1:34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1999</v>
      </c>
      <c r="I1993" s="20" t="s">
        <v>2000</v>
      </c>
      <c r="J1993" s="20" t="s">
        <v>2001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2600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</v>
      </c>
      <c r="W1993" s="32">
        <f t="shared" si="227"/>
        <v>2177186.42156863</v>
      </c>
      <c r="X1993" s="32"/>
      <c r="Y1993" s="32">
        <f t="shared" si="230"/>
        <v>2177186.42156863</v>
      </c>
      <c r="Z1993" s="32">
        <f t="shared" si="231"/>
        <v>43543.7284313724</v>
      </c>
      <c r="AA1993" s="34">
        <v>1727336.89715194</v>
      </c>
      <c r="AB1993" s="24">
        <v>0.065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ht="14.25" spans="1:34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1999</v>
      </c>
      <c r="I1994" s="20" t="s">
        <v>2000</v>
      </c>
      <c r="J1994" s="20" t="s">
        <v>2001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2600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0.065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ht="14.25" spans="1:34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2601</v>
      </c>
      <c r="F1995" s="20" t="s">
        <v>2601</v>
      </c>
      <c r="G1995" s="20" t="s">
        <v>2601</v>
      </c>
      <c r="H1995" s="20" t="s">
        <v>1999</v>
      </c>
      <c r="I1995" s="20" t="s">
        <v>2000</v>
      </c>
      <c r="J1995" s="20" t="s">
        <v>2001</v>
      </c>
      <c r="K1995" s="20" t="str">
        <f>VLOOKUP(H1995,[1]媒体表!C:T,18,0)</f>
        <v>北京多彩</v>
      </c>
      <c r="L1995" s="20" t="s">
        <v>2592</v>
      </c>
      <c r="M1995" s="47"/>
      <c r="N1995" s="20" t="s">
        <v>59</v>
      </c>
      <c r="O1995" s="20" t="s">
        <v>43</v>
      </c>
      <c r="P1995" s="47">
        <v>0.04</v>
      </c>
      <c r="Q1995" s="48" t="s">
        <v>2602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</v>
      </c>
      <c r="X1995" s="32"/>
      <c r="Y1995" s="32">
        <f t="shared" si="230"/>
        <v>38268.5096153846</v>
      </c>
      <c r="Z1995" s="32">
        <f t="shared" si="231"/>
        <v>1530.74038461538</v>
      </c>
      <c r="AA1995" s="34">
        <v>24405.1914876637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ht="14.25" spans="1:34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2601</v>
      </c>
      <c r="F1996" s="20" t="s">
        <v>2601</v>
      </c>
      <c r="G1996" s="20" t="s">
        <v>2601</v>
      </c>
      <c r="H1996" s="20" t="s">
        <v>1999</v>
      </c>
      <c r="I1996" s="20" t="s">
        <v>2000</v>
      </c>
      <c r="J1996" s="20" t="s">
        <v>2001</v>
      </c>
      <c r="K1996" s="20" t="str">
        <f>VLOOKUP(H1996,[1]媒体表!C:T,18,0)</f>
        <v>北京多彩</v>
      </c>
      <c r="L1996" s="20" t="s">
        <v>2592</v>
      </c>
      <c r="M1996" s="20"/>
      <c r="N1996" s="20" t="s">
        <v>42</v>
      </c>
      <c r="O1996" s="20" t="s">
        <v>43</v>
      </c>
      <c r="P1996" s="47">
        <v>0.02</v>
      </c>
      <c r="Q1996" s="48" t="s">
        <v>2593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25850.0980392157</v>
      </c>
      <c r="X1996" s="32"/>
      <c r="Y1996" s="32">
        <f t="shared" si="230"/>
        <v>25850.0980392157</v>
      </c>
      <c r="Z1996" s="32">
        <f t="shared" si="231"/>
        <v>517.001960784313</v>
      </c>
      <c r="AA1996" s="34">
        <v>0</v>
      </c>
      <c r="AB1996" s="24">
        <v>0.065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ht="14.25" spans="1:34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2601</v>
      </c>
      <c r="F1997" s="20" t="s">
        <v>2601</v>
      </c>
      <c r="G1997" s="20" t="s">
        <v>2601</v>
      </c>
      <c r="H1997" s="20" t="s">
        <v>1999</v>
      </c>
      <c r="I1997" s="20" t="s">
        <v>2000</v>
      </c>
      <c r="J1997" s="20" t="s">
        <v>2001</v>
      </c>
      <c r="K1997" s="20" t="str">
        <f>VLOOKUP(H1997,[1]媒体表!C:T,18,0)</f>
        <v>北京多彩</v>
      </c>
      <c r="L1997" s="20" t="s">
        <v>2601</v>
      </c>
      <c r="M1997" s="20"/>
      <c r="N1997" s="20" t="s">
        <v>42</v>
      </c>
      <c r="O1997" s="20" t="s">
        <v>43</v>
      </c>
      <c r="P1997" s="47">
        <v>0.02</v>
      </c>
      <c r="Q1997" s="48" t="s">
        <v>2603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0.065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ht="14.25" spans="1:34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1999</v>
      </c>
      <c r="I1998" s="20" t="s">
        <v>2000</v>
      </c>
      <c r="J1998" s="20" t="s">
        <v>2001</v>
      </c>
      <c r="K1998" s="20" t="str">
        <f>VLOOKUP(H1998,[1]媒体表!C:T,18,0)</f>
        <v>北京多彩</v>
      </c>
      <c r="L1998" s="20" t="s">
        <v>2604</v>
      </c>
      <c r="M1998" s="20"/>
      <c r="N1998" s="20" t="s">
        <v>42</v>
      </c>
      <c r="O1998" s="20" t="s">
        <v>43</v>
      </c>
      <c r="P1998" s="47">
        <v>0.02</v>
      </c>
      <c r="Q1998" s="48" t="s">
        <v>2605</v>
      </c>
      <c r="R1998" s="30"/>
      <c r="S1998" s="34">
        <v>29252.8</v>
      </c>
      <c r="T1998" s="34"/>
      <c r="U1998" s="32">
        <v>4732</v>
      </c>
      <c r="V1998" s="32">
        <f t="shared" si="226"/>
        <v>24520.8</v>
      </c>
      <c r="W1998" s="32">
        <f t="shared" si="227"/>
        <v>4639.21568627451</v>
      </c>
      <c r="X1998" s="32"/>
      <c r="Y1998" s="32">
        <f t="shared" si="230"/>
        <v>4639.21568627451</v>
      </c>
      <c r="Z1998" s="32">
        <f t="shared" si="231"/>
        <v>92.7843137254904</v>
      </c>
      <c r="AA1998" s="34">
        <v>2901.69704503539</v>
      </c>
      <c r="AB1998" s="24">
        <v>0.065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ht="14.25" spans="1:34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1999</v>
      </c>
      <c r="I1999" s="20" t="s">
        <v>2000</v>
      </c>
      <c r="J1999" s="20" t="s">
        <v>2001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2606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19431.2952054459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ht="14.25" spans="1:34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1999</v>
      </c>
      <c r="I2000" s="20" t="s">
        <v>2000</v>
      </c>
      <c r="J2000" s="20" t="s">
        <v>2001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2606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322152.850748777</v>
      </c>
      <c r="AB2000" s="24">
        <v>0.065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ht="14.25" spans="1:34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2607</v>
      </c>
      <c r="F2001" s="20" t="s">
        <v>2607</v>
      </c>
      <c r="G2001" s="20" t="s">
        <v>2607</v>
      </c>
      <c r="H2001" s="20" t="s">
        <v>1999</v>
      </c>
      <c r="I2001" s="20" t="s">
        <v>2000</v>
      </c>
      <c r="J2001" s="20" t="s">
        <v>2001</v>
      </c>
      <c r="K2001" s="20" t="str">
        <f>VLOOKUP(H2001,[1]媒体表!C:T,18,0)</f>
        <v>北京多彩</v>
      </c>
      <c r="L2001" s="20" t="s">
        <v>2607</v>
      </c>
      <c r="M2001" s="20"/>
      <c r="N2001" s="20" t="s">
        <v>59</v>
      </c>
      <c r="O2001" s="20" t="s">
        <v>82</v>
      </c>
      <c r="P2001" s="47">
        <v>0</v>
      </c>
      <c r="Q2001" s="48" t="s">
        <v>2608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ht="14.25" spans="1:34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2609</v>
      </c>
      <c r="F2002" s="20" t="s">
        <v>2609</v>
      </c>
      <c r="G2002" s="20" t="s">
        <v>2609</v>
      </c>
      <c r="H2002" s="20" t="s">
        <v>1999</v>
      </c>
      <c r="I2002" s="20" t="s">
        <v>2000</v>
      </c>
      <c r="J2002" s="20" t="s">
        <v>2001</v>
      </c>
      <c r="K2002" s="20" t="str">
        <f>VLOOKUP(H2002,[1]媒体表!C:T,18,0)</f>
        <v>北京多彩</v>
      </c>
      <c r="L2002" s="20" t="s">
        <v>2610</v>
      </c>
      <c r="M2002" s="20"/>
      <c r="N2002" s="20" t="s">
        <v>42</v>
      </c>
      <c r="O2002" s="20" t="s">
        <v>82</v>
      </c>
      <c r="P2002" s="47">
        <v>0</v>
      </c>
      <c r="Q2002" s="48" t="s">
        <v>2611</v>
      </c>
      <c r="R2002" s="30"/>
      <c r="S2002" s="34">
        <v>54.6999999999999</v>
      </c>
      <c r="T2002" s="34"/>
      <c r="U2002" s="32">
        <v>0</v>
      </c>
      <c r="V2002" s="32">
        <f t="shared" si="226"/>
        <v>54.6999999999999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0.065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ht="14.25" spans="1:34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2612</v>
      </c>
      <c r="F2003" s="20" t="s">
        <v>2612</v>
      </c>
      <c r="G2003" s="20" t="s">
        <v>2612</v>
      </c>
      <c r="H2003" s="20" t="s">
        <v>1999</v>
      </c>
      <c r="I2003" s="20" t="s">
        <v>2000</v>
      </c>
      <c r="J2003" s="20" t="s">
        <v>2001</v>
      </c>
      <c r="K2003" s="20" t="str">
        <f>VLOOKUP(H2003,[1]媒体表!C:T,18,0)</f>
        <v>北京多彩</v>
      </c>
      <c r="L2003" s="20" t="s">
        <v>2612</v>
      </c>
      <c r="M2003" s="20"/>
      <c r="N2003" s="20" t="s">
        <v>59</v>
      </c>
      <c r="O2003" s="20" t="s">
        <v>43</v>
      </c>
      <c r="P2003" s="47">
        <v>0.02</v>
      </c>
      <c r="Q2003" s="48" t="s">
        <v>2613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ht="14.25" spans="1:34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2612</v>
      </c>
      <c r="F2004" s="20" t="s">
        <v>2612</v>
      </c>
      <c r="G2004" s="20" t="s">
        <v>2612</v>
      </c>
      <c r="H2004" s="20" t="s">
        <v>1999</v>
      </c>
      <c r="I2004" s="20" t="s">
        <v>2000</v>
      </c>
      <c r="J2004" s="20" t="s">
        <v>2001</v>
      </c>
      <c r="K2004" s="20" t="str">
        <f>VLOOKUP(H2004,[1]媒体表!C:T,18,0)</f>
        <v>北京多彩</v>
      </c>
      <c r="L2004" s="20" t="s">
        <v>2612</v>
      </c>
      <c r="M2004" s="20"/>
      <c r="N2004" s="20" t="s">
        <v>42</v>
      </c>
      <c r="O2004" s="20" t="s">
        <v>43</v>
      </c>
      <c r="P2004" s="47">
        <v>0.01</v>
      </c>
      <c r="Q2004" s="48" t="s">
        <v>2614</v>
      </c>
      <c r="R2004" s="30"/>
      <c r="S2004" s="34">
        <v>164866.49</v>
      </c>
      <c r="T2004" s="34">
        <v>2000</v>
      </c>
      <c r="U2004" s="32">
        <v>81083.36</v>
      </c>
      <c r="V2004" s="32">
        <f t="shared" si="226"/>
        <v>85783.13</v>
      </c>
      <c r="W2004" s="32">
        <f t="shared" si="227"/>
        <v>80280.5544554455</v>
      </c>
      <c r="X2004" s="32"/>
      <c r="Y2004" s="32">
        <f t="shared" si="230"/>
        <v>80280.5544554455</v>
      </c>
      <c r="Z2004" s="32">
        <f t="shared" si="231"/>
        <v>802.80554455446</v>
      </c>
      <c r="AA2004" s="34">
        <v>49720.9099986349</v>
      </c>
      <c r="AB2004" s="24">
        <v>0.065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ht="14.25" spans="1:34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2612</v>
      </c>
      <c r="F2005" s="20" t="s">
        <v>2612</v>
      </c>
      <c r="G2005" s="20" t="s">
        <v>2612</v>
      </c>
      <c r="H2005" s="20" t="s">
        <v>1999</v>
      </c>
      <c r="I2005" s="20" t="s">
        <v>2000</v>
      </c>
      <c r="J2005" s="20" t="s">
        <v>2001</v>
      </c>
      <c r="K2005" s="20" t="str">
        <f>VLOOKUP(H2005,[1]媒体表!C:T,18,0)</f>
        <v>北京多彩</v>
      </c>
      <c r="L2005" s="20" t="s">
        <v>2612</v>
      </c>
      <c r="M2005" s="20"/>
      <c r="N2005" s="20" t="s">
        <v>333</v>
      </c>
      <c r="O2005" s="20" t="s">
        <v>43</v>
      </c>
      <c r="P2005" s="47">
        <v>0.02</v>
      </c>
      <c r="Q2005" s="48" t="s">
        <v>2613</v>
      </c>
      <c r="R2005" s="30"/>
      <c r="S2005" s="34">
        <v>-364664.36</v>
      </c>
      <c r="T2005" s="34"/>
      <c r="U2005" s="32">
        <v>171850.3</v>
      </c>
      <c r="V2005" s="32">
        <f t="shared" si="226"/>
        <v>-536514.66</v>
      </c>
      <c r="W2005" s="32">
        <f t="shared" si="227"/>
        <v>168480.68627451</v>
      </c>
      <c r="X2005" s="32"/>
      <c r="Y2005" s="32">
        <f t="shared" si="230"/>
        <v>168480.68627451</v>
      </c>
      <c r="Z2005" s="32">
        <f t="shared" si="231"/>
        <v>3369.6137254902</v>
      </c>
      <c r="AA2005" s="34">
        <v>105379.862150982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ht="14.25" spans="1:34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1999</v>
      </c>
      <c r="I2006" s="20" t="s">
        <v>2000</v>
      </c>
      <c r="J2006" s="20" t="s">
        <v>2001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2600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ht="14.25" spans="1:34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1999</v>
      </c>
      <c r="I2007" s="20" t="s">
        <v>2000</v>
      </c>
      <c r="J2007" s="20" t="s">
        <v>2001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2615</v>
      </c>
      <c r="R2007" s="30"/>
      <c r="S2007" s="34">
        <v>72072.4</v>
      </c>
      <c r="T2007" s="34">
        <v>-72072.4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0.065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ht="14.25" spans="1:34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1999</v>
      </c>
      <c r="I2008" s="20" t="s">
        <v>2000</v>
      </c>
      <c r="J2008" s="20" t="s">
        <v>2001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2616</v>
      </c>
      <c r="R2008" s="30"/>
      <c r="S2008" s="34">
        <v>0</v>
      </c>
      <c r="T2008" s="34">
        <v>71639.26</v>
      </c>
      <c r="U2008" s="32">
        <v>0</v>
      </c>
      <c r="V2008" s="32">
        <f t="shared" si="232"/>
        <v>71639.26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ht="14.25" spans="1:34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1999</v>
      </c>
      <c r="I2009" s="20" t="s">
        <v>2000</v>
      </c>
      <c r="J2009" s="20" t="s">
        <v>2001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2617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ht="14.25" spans="1:34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1999</v>
      </c>
      <c r="I2010" s="20" t="s">
        <v>2000</v>
      </c>
      <c r="J2010" s="20" t="s">
        <v>2001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2616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0.065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ht="14.25" spans="1:34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1999</v>
      </c>
      <c r="I2011" s="20" t="s">
        <v>2000</v>
      </c>
      <c r="J2011" s="20" t="s">
        <v>2001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2617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0.065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ht="14.25" spans="1:34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1999</v>
      </c>
      <c r="I2012" s="20" t="s">
        <v>2000</v>
      </c>
      <c r="J2012" s="20" t="s">
        <v>2001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43</v>
      </c>
      <c r="P2012" s="47">
        <v>0.03</v>
      </c>
      <c r="Q2012" s="48" t="s">
        <v>2618</v>
      </c>
      <c r="R2012" s="30"/>
      <c r="S2012" s="34">
        <v>61021.4300000001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156331.485436893</v>
      </c>
      <c r="X2012" s="32"/>
      <c r="Y2012" s="32">
        <f t="shared" si="230"/>
        <v>156331.485436893</v>
      </c>
      <c r="Z2012" s="32">
        <f t="shared" si="231"/>
        <v>4689.94456310681</v>
      </c>
      <c r="AA2012" s="34">
        <v>437379.933331405</v>
      </c>
      <c r="AB2012" s="24">
        <v>0.065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ht="14.25" spans="1:34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1999</v>
      </c>
      <c r="I2013" s="20" t="s">
        <v>2000</v>
      </c>
      <c r="J2013" s="20" t="s">
        <v>2001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2618</v>
      </c>
      <c r="R2013" s="30"/>
      <c r="S2013" s="34">
        <v>0</v>
      </c>
      <c r="T2013" s="34">
        <v>750000</v>
      </c>
      <c r="U2013" s="49">
        <v>552244.57</v>
      </c>
      <c r="V2013" s="32">
        <f t="shared" si="232"/>
        <v>197755.43</v>
      </c>
      <c r="W2013" s="32">
        <f t="shared" si="233"/>
        <v>552244.57</v>
      </c>
      <c r="X2013" s="32"/>
      <c r="Y2013" s="32">
        <f t="shared" si="230"/>
        <v>552244.57</v>
      </c>
      <c r="Z2013" s="32">
        <f t="shared" si="231"/>
        <v>0</v>
      </c>
      <c r="AA2013" s="34">
        <v>0</v>
      </c>
      <c r="AB2013" s="24">
        <v>0.065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ht="14.25" spans="1:34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2619</v>
      </c>
      <c r="F2014" s="20" t="s">
        <v>2619</v>
      </c>
      <c r="G2014" s="20" t="s">
        <v>2619</v>
      </c>
      <c r="H2014" s="20" t="s">
        <v>1999</v>
      </c>
      <c r="I2014" s="20" t="s">
        <v>2000</v>
      </c>
      <c r="J2014" s="20" t="s">
        <v>2001</v>
      </c>
      <c r="K2014" s="20" t="str">
        <f>VLOOKUP(H2014,[1]媒体表!C:T,18,0)</f>
        <v>北京多彩</v>
      </c>
      <c r="L2014" s="20" t="s">
        <v>1849</v>
      </c>
      <c r="M2014" s="20"/>
      <c r="N2014" s="20" t="s">
        <v>42</v>
      </c>
      <c r="O2014" s="20" t="s">
        <v>82</v>
      </c>
      <c r="P2014" s="47">
        <v>0</v>
      </c>
      <c r="Q2014" s="48" t="s">
        <v>2620</v>
      </c>
      <c r="R2014" s="30"/>
      <c r="S2014" s="34">
        <v>0</v>
      </c>
      <c r="T2014" s="34">
        <v>170000</v>
      </c>
      <c r="U2014" s="49">
        <v>157666.92</v>
      </c>
      <c r="V2014" s="32">
        <f t="shared" si="232"/>
        <v>12333.08</v>
      </c>
      <c r="W2014" s="32">
        <f t="shared" si="233"/>
        <v>157666.92</v>
      </c>
      <c r="X2014" s="32"/>
      <c r="Y2014" s="32">
        <f t="shared" si="230"/>
        <v>157666.92</v>
      </c>
      <c r="Z2014" s="32">
        <f t="shared" si="231"/>
        <v>0</v>
      </c>
      <c r="AA2014" s="34">
        <v>106745.536176552</v>
      </c>
      <c r="AB2014" s="24">
        <v>0.065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ht="14.25" spans="1:34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2619</v>
      </c>
      <c r="F2015" s="20" t="s">
        <v>2619</v>
      </c>
      <c r="G2015" s="20" t="s">
        <v>2619</v>
      </c>
      <c r="H2015" s="20" t="s">
        <v>1999</v>
      </c>
      <c r="I2015" s="20" t="s">
        <v>2000</v>
      </c>
      <c r="J2015" s="20" t="s">
        <v>2001</v>
      </c>
      <c r="K2015" s="20" t="str">
        <f>VLOOKUP(H2015,[1]媒体表!C:T,18,0)</f>
        <v>北京多彩</v>
      </c>
      <c r="L2015" s="20" t="s">
        <v>1848</v>
      </c>
      <c r="M2015" s="20"/>
      <c r="N2015" s="20" t="s">
        <v>42</v>
      </c>
      <c r="O2015" s="20" t="s">
        <v>82</v>
      </c>
      <c r="P2015" s="47">
        <v>0</v>
      </c>
      <c r="Q2015" s="48" t="s">
        <v>2621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228.358406502785</v>
      </c>
      <c r="AB2015" s="24">
        <v>0.065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ht="14.25" spans="1:34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1999</v>
      </c>
      <c r="I2016" s="20" t="s">
        <v>2000</v>
      </c>
      <c r="J2016" s="20" t="s">
        <v>2001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2622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0.030000001002918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0.065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ht="14.25" spans="1:34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2623</v>
      </c>
      <c r="F2017" s="20" t="s">
        <v>2623</v>
      </c>
      <c r="G2017" s="20" t="s">
        <v>2623</v>
      </c>
      <c r="H2017" s="20" t="s">
        <v>1999</v>
      </c>
      <c r="I2017" s="20" t="s">
        <v>2000</v>
      </c>
      <c r="J2017" s="20" t="s">
        <v>2001</v>
      </c>
      <c r="K2017" s="20" t="str">
        <f>VLOOKUP(H2017,[1]媒体表!C:T,18,0)</f>
        <v>北京多彩</v>
      </c>
      <c r="L2017" s="20" t="s">
        <v>2624</v>
      </c>
      <c r="M2017" s="20"/>
      <c r="N2017" s="20" t="s">
        <v>42</v>
      </c>
      <c r="O2017" s="20" t="s">
        <v>43</v>
      </c>
      <c r="P2017" s="47">
        <v>0.02</v>
      </c>
      <c r="Q2017" s="48" t="s">
        <v>2625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</v>
      </c>
      <c r="X2017" s="32"/>
      <c r="Y2017" s="32">
        <f t="shared" si="230"/>
        <v>9637.74509803921</v>
      </c>
      <c r="Z2017" s="32">
        <f t="shared" si="231"/>
        <v>192.754901960785</v>
      </c>
      <c r="AA2017" s="34">
        <v>6028.13457337709</v>
      </c>
      <c r="AB2017" s="24">
        <v>0.065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ht="14.25" spans="1:34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1999</v>
      </c>
      <c r="I2018" s="20" t="s">
        <v>2000</v>
      </c>
      <c r="J2018" s="20" t="s">
        <v>2001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2626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153804.537721126</v>
      </c>
      <c r="AB2018" s="24">
        <v>0.065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ht="14.25" spans="1:34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1999</v>
      </c>
      <c r="I2019" s="20" t="s">
        <v>2000</v>
      </c>
      <c r="J2019" s="20" t="s">
        <v>2001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2627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29133.786407767</v>
      </c>
      <c r="X2019" s="32"/>
      <c r="Y2019" s="32">
        <f t="shared" si="230"/>
        <v>29133.786407767</v>
      </c>
      <c r="Z2019" s="32">
        <f t="shared" si="231"/>
        <v>874.013592233012</v>
      </c>
      <c r="AA2019" s="34">
        <v>0</v>
      </c>
      <c r="AB2019" s="24">
        <v>0.065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ht="14.25" spans="1:34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1999</v>
      </c>
      <c r="I2020" s="20" t="s">
        <v>2000</v>
      </c>
      <c r="J2020" s="20" t="s">
        <v>2001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2627</v>
      </c>
      <c r="R2020" s="30"/>
      <c r="S2020" s="34">
        <v>0</v>
      </c>
      <c r="T2020" s="34">
        <v>30000</v>
      </c>
      <c r="U2020" s="32">
        <v>4838.9</v>
      </c>
      <c r="V2020" s="32">
        <f t="shared" si="232"/>
        <v>25161.1</v>
      </c>
      <c r="W2020" s="32">
        <f t="shared" si="233"/>
        <v>4838.9</v>
      </c>
      <c r="X2020" s="32"/>
      <c r="Y2020" s="32">
        <f t="shared" si="230"/>
        <v>4838.9</v>
      </c>
      <c r="Z2020" s="32">
        <f t="shared" si="231"/>
        <v>0</v>
      </c>
      <c r="AA2020" s="34">
        <v>21368.2515678856</v>
      </c>
      <c r="AB2020" s="24">
        <v>0.065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ht="14.25" spans="1:34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1999</v>
      </c>
      <c r="I2021" s="20" t="s">
        <v>2000</v>
      </c>
      <c r="J2021" s="20" t="s">
        <v>2001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0.065</v>
      </c>
      <c r="AC2021" s="36"/>
      <c r="AD2021" s="36"/>
      <c r="AE2021" s="34"/>
      <c r="AF2021" s="34"/>
      <c r="AG2021" s="24"/>
      <c r="AH2021" s="38" t="e">
        <v>#N/A</v>
      </c>
    </row>
    <row r="2022" ht="14.25" spans="1:34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2628</v>
      </c>
      <c r="F2022" s="20" t="s">
        <v>2628</v>
      </c>
      <c r="G2022" s="20" t="s">
        <v>2628</v>
      </c>
      <c r="H2022" s="20" t="s">
        <v>1999</v>
      </c>
      <c r="I2022" s="20" t="s">
        <v>2000</v>
      </c>
      <c r="J2022" s="20" t="s">
        <v>2001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2629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0.065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ht="14.25" spans="1:34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1848</v>
      </c>
      <c r="F2023" s="20" t="s">
        <v>1848</v>
      </c>
      <c r="G2023" s="20" t="s">
        <v>1848</v>
      </c>
      <c r="H2023" s="20" t="s">
        <v>1999</v>
      </c>
      <c r="I2023" s="20" t="s">
        <v>2000</v>
      </c>
      <c r="J2023" s="20" t="s">
        <v>2001</v>
      </c>
      <c r="K2023" s="20" t="str">
        <f>VLOOKUP(H2023,[1]媒体表!C:T,18,0)</f>
        <v>北京多彩</v>
      </c>
      <c r="L2023" s="20" t="s">
        <v>1849</v>
      </c>
      <c r="M2023" s="20"/>
      <c r="N2023" s="20" t="s">
        <v>42</v>
      </c>
      <c r="O2023" s="20" t="s">
        <v>82</v>
      </c>
      <c r="P2023" s="47">
        <v>0</v>
      </c>
      <c r="Q2023" s="48" t="s">
        <v>2620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0.065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ht="14.25" spans="1:34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2630</v>
      </c>
      <c r="F2024" s="20" t="s">
        <v>2630</v>
      </c>
      <c r="G2024" s="20" t="s">
        <v>2630</v>
      </c>
      <c r="H2024" s="20" t="s">
        <v>1999</v>
      </c>
      <c r="I2024" s="20" t="s">
        <v>2000</v>
      </c>
      <c r="J2024" s="20" t="s">
        <v>2001</v>
      </c>
      <c r="K2024" s="20" t="str">
        <f>VLOOKUP(H2024,[1]媒体表!C:T,18,0)</f>
        <v>北京多彩</v>
      </c>
      <c r="L2024" s="20" t="s">
        <v>2630</v>
      </c>
      <c r="M2024" s="20"/>
      <c r="N2024" s="20" t="s">
        <v>59</v>
      </c>
      <c r="O2024" s="20" t="s">
        <v>82</v>
      </c>
      <c r="P2024" s="47">
        <v>0</v>
      </c>
      <c r="Q2024" s="48" t="s">
        <v>2631</v>
      </c>
      <c r="R2024" s="30"/>
      <c r="S2024" s="34">
        <v>9.95000000000073</v>
      </c>
      <c r="T2024" s="34"/>
      <c r="U2024" s="32">
        <v>0</v>
      </c>
      <c r="V2024" s="32">
        <f t="shared" si="232"/>
        <v>9.95000000000073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ht="14.25" spans="1:34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2630</v>
      </c>
      <c r="F2025" s="20" t="s">
        <v>2630</v>
      </c>
      <c r="G2025" s="20" t="s">
        <v>2630</v>
      </c>
      <c r="H2025" s="20" t="s">
        <v>1999</v>
      </c>
      <c r="I2025" s="20" t="s">
        <v>2000</v>
      </c>
      <c r="J2025" s="20" t="s">
        <v>2001</v>
      </c>
      <c r="K2025" s="20" t="str">
        <f>VLOOKUP(H2025,[1]媒体表!C:T,18,0)</f>
        <v>北京多彩</v>
      </c>
      <c r="L2025" s="20" t="s">
        <v>2632</v>
      </c>
      <c r="M2025" s="20"/>
      <c r="N2025" s="20" t="s">
        <v>42</v>
      </c>
      <c r="O2025" s="20" t="s">
        <v>82</v>
      </c>
      <c r="P2025" s="47">
        <v>0</v>
      </c>
      <c r="Q2025" s="48" t="s">
        <v>2633</v>
      </c>
      <c r="R2025" s="30"/>
      <c r="S2025" s="34">
        <v>9509.90000000002</v>
      </c>
      <c r="T2025" s="34">
        <v>1150000</v>
      </c>
      <c r="U2025" s="32">
        <v>559725.8</v>
      </c>
      <c r="V2025" s="32">
        <f t="shared" si="232"/>
        <v>599784.1</v>
      </c>
      <c r="W2025" s="32">
        <f t="shared" si="233"/>
        <v>559725.8</v>
      </c>
      <c r="X2025" s="32"/>
      <c r="Y2025" s="32">
        <f t="shared" si="230"/>
        <v>559725.8</v>
      </c>
      <c r="Z2025" s="32">
        <f t="shared" si="231"/>
        <v>0</v>
      </c>
      <c r="AA2025" s="34">
        <v>343227.95855665</v>
      </c>
      <c r="AB2025" s="24">
        <v>0.065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ht="14.25" spans="1:34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1999</v>
      </c>
      <c r="I2026" s="20" t="s">
        <v>2000</v>
      </c>
      <c r="J2026" s="20" t="s">
        <v>2001</v>
      </c>
      <c r="K2026" s="20" t="str">
        <f>VLOOKUP(H2026,[1]媒体表!C:T,18,0)</f>
        <v>北京多彩</v>
      </c>
      <c r="L2026" s="20" t="s">
        <v>2634</v>
      </c>
      <c r="M2026" s="20"/>
      <c r="N2026" s="20" t="s">
        <v>59</v>
      </c>
      <c r="O2026" s="20" t="s">
        <v>43</v>
      </c>
      <c r="P2026" s="47">
        <v>0.06</v>
      </c>
      <c r="Q2026" s="48" t="s">
        <v>2635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ht="14.25" spans="1:34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2636</v>
      </c>
      <c r="F2027" s="20" t="s">
        <v>2636</v>
      </c>
      <c r="G2027" s="20" t="s">
        <v>2636</v>
      </c>
      <c r="H2027" s="20" t="s">
        <v>1999</v>
      </c>
      <c r="I2027" s="20" t="s">
        <v>2000</v>
      </c>
      <c r="J2027" s="20" t="s">
        <v>2001</v>
      </c>
      <c r="K2027" s="20" t="str">
        <f>VLOOKUP(H2027,[1]媒体表!C:T,18,0)</f>
        <v>北京多彩</v>
      </c>
      <c r="L2027" s="20" t="s">
        <v>2636</v>
      </c>
      <c r="M2027" s="20"/>
      <c r="N2027" s="20" t="s">
        <v>59</v>
      </c>
      <c r="O2027" s="20" t="s">
        <v>43</v>
      </c>
      <c r="P2027" s="47">
        <v>0.01</v>
      </c>
      <c r="Q2027" s="48" t="s">
        <v>2637</v>
      </c>
      <c r="R2027" s="30"/>
      <c r="S2027" s="34">
        <v>0</v>
      </c>
      <c r="T2027" s="34">
        <v>520000</v>
      </c>
      <c r="U2027" s="32">
        <v>327697.65</v>
      </c>
      <c r="V2027" s="32">
        <f t="shared" si="232"/>
        <v>192302.35</v>
      </c>
      <c r="W2027" s="32">
        <f t="shared" si="233"/>
        <v>324453.118811881</v>
      </c>
      <c r="X2027" s="32"/>
      <c r="Y2027" s="32">
        <f t="shared" si="234"/>
        <v>324453.118811881</v>
      </c>
      <c r="Z2027" s="32">
        <f t="shared" si="231"/>
        <v>3244.5311881188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ht="14.25" spans="1:34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2636</v>
      </c>
      <c r="F2028" s="20" t="s">
        <v>2636</v>
      </c>
      <c r="G2028" s="20" t="s">
        <v>2636</v>
      </c>
      <c r="H2028" s="20" t="s">
        <v>1999</v>
      </c>
      <c r="I2028" s="20" t="s">
        <v>2000</v>
      </c>
      <c r="J2028" s="20" t="s">
        <v>2001</v>
      </c>
      <c r="K2028" s="20" t="str">
        <f>VLOOKUP(H2028,[1]媒体表!C:T,18,0)</f>
        <v>北京多彩</v>
      </c>
      <c r="L2028" s="20" t="s">
        <v>2636</v>
      </c>
      <c r="M2028" s="20"/>
      <c r="N2028" s="20" t="s">
        <v>59</v>
      </c>
      <c r="O2028" s="20" t="s">
        <v>43</v>
      </c>
      <c r="P2028" s="47">
        <v>0.06</v>
      </c>
      <c r="Q2028" s="48" t="s">
        <v>2637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ht="14.25" spans="1:34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2636</v>
      </c>
      <c r="F2029" s="20" t="s">
        <v>2636</v>
      </c>
      <c r="G2029" s="20" t="s">
        <v>2636</v>
      </c>
      <c r="H2029" s="20" t="s">
        <v>1999</v>
      </c>
      <c r="I2029" s="20" t="s">
        <v>2000</v>
      </c>
      <c r="J2029" s="20" t="s">
        <v>2001</v>
      </c>
      <c r="K2029" s="20" t="str">
        <f>VLOOKUP(H2029,[1]媒体表!C:T,18,0)</f>
        <v>北京多彩</v>
      </c>
      <c r="L2029" s="20" t="s">
        <v>2636</v>
      </c>
      <c r="M2029" s="20"/>
      <c r="N2029" s="20" t="s">
        <v>59</v>
      </c>
      <c r="O2029" s="20" t="s">
        <v>82</v>
      </c>
      <c r="P2029" s="47">
        <v>0</v>
      </c>
      <c r="Q2029" s="48" t="s">
        <v>2637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ht="14.25" spans="1:34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2636</v>
      </c>
      <c r="F2030" s="20" t="s">
        <v>2636</v>
      </c>
      <c r="G2030" s="20" t="s">
        <v>2636</v>
      </c>
      <c r="H2030" s="20" t="s">
        <v>1999</v>
      </c>
      <c r="I2030" s="20" t="s">
        <v>2000</v>
      </c>
      <c r="J2030" s="20" t="s">
        <v>2001</v>
      </c>
      <c r="K2030" s="20" t="str">
        <f>VLOOKUP(H2030,[1]媒体表!C:T,18,0)</f>
        <v>北京多彩</v>
      </c>
      <c r="L2030" s="20" t="s">
        <v>2636</v>
      </c>
      <c r="M2030" s="20"/>
      <c r="N2030" s="20" t="s">
        <v>59</v>
      </c>
      <c r="O2030" s="20" t="s">
        <v>82</v>
      </c>
      <c r="P2030" s="47">
        <v>0.01</v>
      </c>
      <c r="Q2030" s="48" t="s">
        <v>2638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ht="14.25" spans="1:34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2636</v>
      </c>
      <c r="F2031" s="20" t="s">
        <v>2636</v>
      </c>
      <c r="G2031" s="20" t="s">
        <v>2636</v>
      </c>
      <c r="H2031" s="20" t="s">
        <v>1999</v>
      </c>
      <c r="I2031" s="20" t="s">
        <v>2000</v>
      </c>
      <c r="J2031" s="20" t="s">
        <v>2001</v>
      </c>
      <c r="K2031" s="20" t="str">
        <f>VLOOKUP(H2031,[1]媒体表!C:T,18,0)</f>
        <v>北京多彩</v>
      </c>
      <c r="L2031" s="20" t="s">
        <v>2636</v>
      </c>
      <c r="M2031" s="20"/>
      <c r="N2031" s="20" t="s">
        <v>42</v>
      </c>
      <c r="O2031" s="20" t="s">
        <v>82</v>
      </c>
      <c r="P2031" s="47">
        <v>0</v>
      </c>
      <c r="Q2031" s="48" t="s">
        <v>2638</v>
      </c>
      <c r="R2031" s="30"/>
      <c r="S2031" s="34">
        <v>283874.53</v>
      </c>
      <c r="T2031" s="34">
        <v>6800000</v>
      </c>
      <c r="U2031" s="32">
        <v>6128488.8</v>
      </c>
      <c r="V2031" s="32">
        <f t="shared" si="232"/>
        <v>955385.73</v>
      </c>
      <c r="W2031" s="32">
        <f t="shared" si="233"/>
        <v>6128488.8</v>
      </c>
      <c r="X2031" s="32"/>
      <c r="Y2031" s="32">
        <f t="shared" si="234"/>
        <v>6128488.8</v>
      </c>
      <c r="Z2031" s="32">
        <f t="shared" si="231"/>
        <v>0</v>
      </c>
      <c r="AA2031" s="34">
        <v>3758034.20149883</v>
      </c>
      <c r="AB2031" s="24">
        <v>0.065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ht="14.25" spans="1:34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2636</v>
      </c>
      <c r="F2032" s="20" t="s">
        <v>2636</v>
      </c>
      <c r="G2032" s="20" t="s">
        <v>2636</v>
      </c>
      <c r="H2032" s="20" t="s">
        <v>1999</v>
      </c>
      <c r="I2032" s="20" t="s">
        <v>2000</v>
      </c>
      <c r="J2032" s="20" t="s">
        <v>2001</v>
      </c>
      <c r="K2032" s="20" t="str">
        <f>VLOOKUP(H2032,[1]媒体表!C:T,18,0)</f>
        <v>北京多彩</v>
      </c>
      <c r="L2032" s="20" t="s">
        <v>2636</v>
      </c>
      <c r="M2032" s="20"/>
      <c r="N2032" s="20" t="s">
        <v>333</v>
      </c>
      <c r="O2032" s="20" t="s">
        <v>43</v>
      </c>
      <c r="P2032" s="47">
        <v>0.06</v>
      </c>
      <c r="Q2032" s="48" t="s">
        <v>2637</v>
      </c>
      <c r="R2032" s="30"/>
      <c r="S2032" s="34">
        <v>-12697.2</v>
      </c>
      <c r="T2032" s="34"/>
      <c r="U2032" s="32">
        <v>63844.8</v>
      </c>
      <c r="V2032" s="32">
        <f t="shared" si="232"/>
        <v>-76542</v>
      </c>
      <c r="W2032" s="32">
        <f t="shared" si="233"/>
        <v>60230.9433962264</v>
      </c>
      <c r="X2032" s="32"/>
      <c r="Y2032" s="32">
        <f t="shared" si="234"/>
        <v>60230.9433962264</v>
      </c>
      <c r="Z2032" s="32">
        <f t="shared" si="231"/>
        <v>3613.85660377359</v>
      </c>
      <c r="AA2032" s="34">
        <v>39150.0987956203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ht="14.25" spans="1:34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1999</v>
      </c>
      <c r="I2033" s="20" t="s">
        <v>2000</v>
      </c>
      <c r="J2033" s="20" t="s">
        <v>2001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2639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</v>
      </c>
      <c r="W2033" s="32">
        <f t="shared" si="233"/>
        <v>110360.701923077</v>
      </c>
      <c r="X2033" s="32"/>
      <c r="Y2033" s="32">
        <f t="shared" si="234"/>
        <v>110360.701923077</v>
      </c>
      <c r="Z2033" s="32">
        <f t="shared" si="231"/>
        <v>4414.42807692308</v>
      </c>
      <c r="AA2033" s="34">
        <v>70380.9500347744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ht="14.25" spans="1:34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1999</v>
      </c>
      <c r="I2034" s="20" t="s">
        <v>2000</v>
      </c>
      <c r="J2034" s="20" t="s">
        <v>2001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2640</v>
      </c>
      <c r="R2034" s="30"/>
      <c r="S2034" s="34">
        <v>0</v>
      </c>
      <c r="T2034" s="34">
        <v>50000</v>
      </c>
      <c r="U2034" s="32">
        <v>268881.1</v>
      </c>
      <c r="V2034" s="32">
        <f t="shared" si="232"/>
        <v>-218881.1</v>
      </c>
      <c r="W2034" s="32">
        <f t="shared" si="233"/>
        <v>258539.519230769</v>
      </c>
      <c r="X2034" s="32"/>
      <c r="Y2034" s="32">
        <f t="shared" si="234"/>
        <v>258539.519230769</v>
      </c>
      <c r="Z2034" s="32">
        <f t="shared" si="231"/>
        <v>10341.5807692308</v>
      </c>
      <c r="AA2034" s="34">
        <v>164879.859115779</v>
      </c>
      <c r="AB2034" s="24">
        <v>0.065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ht="14.25" spans="1:34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1999</v>
      </c>
      <c r="I2035" s="20" t="s">
        <v>2000</v>
      </c>
      <c r="J2035" s="20" t="s">
        <v>2001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2641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ht="14.25" spans="1:34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1999</v>
      </c>
      <c r="I2036" s="20" t="s">
        <v>2000</v>
      </c>
      <c r="J2036" s="20" t="s">
        <v>2001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2641</v>
      </c>
      <c r="R2036" s="30"/>
      <c r="S2036" s="34">
        <v>2156.66000000003</v>
      </c>
      <c r="T2036" s="34"/>
      <c r="U2036" s="34">
        <v>2156.66000000003</v>
      </c>
      <c r="V2036" s="32">
        <f t="shared" si="232"/>
        <v>0</v>
      </c>
      <c r="W2036" s="32">
        <f t="shared" si="233"/>
        <v>2114.37254901964</v>
      </c>
      <c r="X2036" s="32"/>
      <c r="Y2036" s="32">
        <f t="shared" si="234"/>
        <v>2114.37254901964</v>
      </c>
      <c r="Z2036" s="32">
        <f t="shared" si="231"/>
        <v>42.2874509803928</v>
      </c>
      <c r="AA2036" s="34">
        <v>0</v>
      </c>
      <c r="AB2036" s="24">
        <v>0.065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ht="14.25" spans="1:34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1999</v>
      </c>
      <c r="I2037" s="20" t="s">
        <v>2000</v>
      </c>
      <c r="J2037" s="20" t="s">
        <v>2001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2641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23207.06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</v>
      </c>
      <c r="AB2037" s="24">
        <v>0.065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ht="14.25" spans="1:34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1999</v>
      </c>
      <c r="I2038" s="20" t="s">
        <v>2000</v>
      </c>
      <c r="J2038" s="20" t="s">
        <v>2001</v>
      </c>
      <c r="K2038" s="20" t="str">
        <f>VLOOKUP(H2038,[1]媒体表!C:T,18,0)</f>
        <v>北京多彩</v>
      </c>
      <c r="L2038" s="20" t="s">
        <v>2642</v>
      </c>
      <c r="M2038" s="20"/>
      <c r="N2038" s="20" t="s">
        <v>42</v>
      </c>
      <c r="O2038" s="20" t="s">
        <v>82</v>
      </c>
      <c r="P2038" s="47">
        <v>0</v>
      </c>
      <c r="Q2038" s="48" t="s">
        <v>2643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151918.128038192</v>
      </c>
      <c r="AB2038" s="24">
        <v>0.065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ht="14.25" spans="1:34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1999</v>
      </c>
      <c r="I2039" s="20" t="s">
        <v>2000</v>
      </c>
      <c r="J2039" s="20" t="s">
        <v>2001</v>
      </c>
      <c r="K2039" s="20" t="str">
        <f>VLOOKUP(H2039,[1]媒体表!C:T,18,0)</f>
        <v>北京多彩</v>
      </c>
      <c r="L2039" s="20" t="s">
        <v>2644</v>
      </c>
      <c r="M2039" s="20"/>
      <c r="N2039" s="20" t="s">
        <v>42</v>
      </c>
      <c r="O2039" s="20" t="s">
        <v>43</v>
      </c>
      <c r="P2039" s="47">
        <v>0.02</v>
      </c>
      <c r="Q2039" s="48" t="s">
        <v>2645</v>
      </c>
      <c r="R2039" s="30"/>
      <c r="S2039" s="34">
        <v>13504.2</v>
      </c>
      <c r="T2039" s="34"/>
      <c r="U2039" s="32">
        <v>4608.9</v>
      </c>
      <c r="V2039" s="32">
        <f t="shared" si="232"/>
        <v>8895.3</v>
      </c>
      <c r="W2039" s="32">
        <f t="shared" si="233"/>
        <v>4518.52941176471</v>
      </c>
      <c r="X2039" s="32"/>
      <c r="Y2039" s="32">
        <f t="shared" si="234"/>
        <v>4518.52941176471</v>
      </c>
      <c r="Z2039" s="32">
        <f t="shared" si="231"/>
        <v>90.3705882352942</v>
      </c>
      <c r="AA2039" s="34">
        <v>2826.21122376661</v>
      </c>
      <c r="AB2039" s="24">
        <v>0.065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ht="14.25" spans="1:34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1999</v>
      </c>
      <c r="I2040" s="20" t="s">
        <v>2000</v>
      </c>
      <c r="J2040" s="20" t="s">
        <v>2001</v>
      </c>
      <c r="K2040" s="20" t="str">
        <f>VLOOKUP(H2040,[1]媒体表!C:T,18,0)</f>
        <v>北京多彩</v>
      </c>
      <c r="L2040" s="20" t="s">
        <v>2646</v>
      </c>
      <c r="M2040" s="20"/>
      <c r="N2040" s="20" t="s">
        <v>42</v>
      </c>
      <c r="O2040" s="20" t="s">
        <v>43</v>
      </c>
      <c r="P2040" s="47">
        <v>0.02</v>
      </c>
      <c r="Q2040" s="48" t="s">
        <v>2647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</v>
      </c>
      <c r="X2040" s="32"/>
      <c r="Y2040" s="32">
        <f t="shared" si="234"/>
        <v>1395.39215686274</v>
      </c>
      <c r="Z2040" s="32">
        <f t="shared" si="231"/>
        <v>27.907843137255</v>
      </c>
      <c r="AA2040" s="34">
        <v>872.777980599929</v>
      </c>
      <c r="AB2040" s="24">
        <v>0.065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ht="14.25" spans="1:34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1999</v>
      </c>
      <c r="I2041" s="20" t="s">
        <v>2000</v>
      </c>
      <c r="J2041" s="20" t="s">
        <v>2001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2639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ht="14.25" spans="1:34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1999</v>
      </c>
      <c r="I2042" s="20" t="s">
        <v>2000</v>
      </c>
      <c r="J2042" s="20" t="s">
        <v>2001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2640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0.065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ht="14.25" spans="1:34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2648</v>
      </c>
      <c r="F2043" s="20" t="s">
        <v>2648</v>
      </c>
      <c r="G2043" s="20" t="s">
        <v>2648</v>
      </c>
      <c r="H2043" s="20" t="s">
        <v>1999</v>
      </c>
      <c r="I2043" s="20" t="s">
        <v>2000</v>
      </c>
      <c r="J2043" s="20" t="s">
        <v>2001</v>
      </c>
      <c r="K2043" s="20" t="str">
        <f>VLOOKUP(H2043,[1]媒体表!C:T,18,0)</f>
        <v>北京多彩</v>
      </c>
      <c r="L2043" s="20" t="s">
        <v>2648</v>
      </c>
      <c r="M2043" s="20"/>
      <c r="N2043" s="20" t="s">
        <v>42</v>
      </c>
      <c r="O2043" s="20" t="s">
        <v>43</v>
      </c>
      <c r="P2043" s="47">
        <v>0.02</v>
      </c>
      <c r="Q2043" s="48" t="s">
        <v>2649</v>
      </c>
      <c r="R2043" s="30"/>
      <c r="S2043" s="34">
        <v>0</v>
      </c>
      <c r="T2043" s="34">
        <v>19737.15</v>
      </c>
      <c r="U2043" s="49">
        <v>12376.1</v>
      </c>
      <c r="V2043" s="32">
        <f t="shared" si="232"/>
        <v>7361.05</v>
      </c>
      <c r="W2043" s="32">
        <f t="shared" si="233"/>
        <v>12133.431372549</v>
      </c>
      <c r="X2043" s="32"/>
      <c r="Y2043" s="32">
        <f t="shared" si="234"/>
        <v>12133.431372549</v>
      </c>
      <c r="Z2043" s="32">
        <f t="shared" si="235"/>
        <v>242.668627450981</v>
      </c>
      <c r="AA2043" s="34">
        <v>7601.0726735927</v>
      </c>
      <c r="AB2043" s="24">
        <v>0.065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ht="14.25" spans="1:34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2648</v>
      </c>
      <c r="F2044" s="20" t="s">
        <v>2648</v>
      </c>
      <c r="G2044" s="20" t="s">
        <v>2648</v>
      </c>
      <c r="H2044" s="20" t="s">
        <v>1999</v>
      </c>
      <c r="I2044" s="20" t="s">
        <v>2000</v>
      </c>
      <c r="J2044" s="20" t="s">
        <v>2001</v>
      </c>
      <c r="K2044" s="20" t="str">
        <f>VLOOKUP(H2044,[1]媒体表!C:T,18,0)</f>
        <v>北京多彩</v>
      </c>
      <c r="L2044" s="20" t="s">
        <v>2648</v>
      </c>
      <c r="M2044" s="20"/>
      <c r="N2044" s="20" t="s">
        <v>42</v>
      </c>
      <c r="O2044" s="20" t="s">
        <v>43</v>
      </c>
      <c r="P2044" s="47">
        <v>0.03</v>
      </c>
      <c r="Q2044" s="48" t="s">
        <v>2649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18.9320388349515</v>
      </c>
      <c r="X2044" s="32"/>
      <c r="Y2044" s="32">
        <f t="shared" si="234"/>
        <v>18.9320388349515</v>
      </c>
      <c r="Z2044" s="32">
        <f t="shared" si="235"/>
        <v>0.567961165048544</v>
      </c>
      <c r="AA2044" s="34">
        <v>0</v>
      </c>
      <c r="AB2044" s="24">
        <v>0.065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ht="14.25" spans="1:34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1999</v>
      </c>
      <c r="I2045" s="20" t="s">
        <v>2000</v>
      </c>
      <c r="J2045" s="20" t="s">
        <v>2001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2650</v>
      </c>
      <c r="R2045" s="30"/>
      <c r="S2045" s="34">
        <v>0.160000000003492</v>
      </c>
      <c r="T2045" s="34"/>
      <c r="U2045" s="32">
        <v>0</v>
      </c>
      <c r="V2045" s="32">
        <f t="shared" si="232"/>
        <v>0.160000000003492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ht="14.25" spans="1:34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1999</v>
      </c>
      <c r="I2046" s="20" t="s">
        <v>2000</v>
      </c>
      <c r="J2046" s="20" t="s">
        <v>2001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2651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0.065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ht="14.25" spans="1:34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1999</v>
      </c>
      <c r="I2047" s="20" t="s">
        <v>2000</v>
      </c>
      <c r="J2047" s="20" t="s">
        <v>2001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2652</v>
      </c>
      <c r="R2047" s="30"/>
      <c r="S2047" s="34">
        <v>196.200000000026</v>
      </c>
      <c r="T2047" s="34">
        <v>0</v>
      </c>
      <c r="U2047" s="34">
        <v>196.200000000026</v>
      </c>
      <c r="V2047" s="32">
        <f t="shared" si="232"/>
        <v>0</v>
      </c>
      <c r="W2047" s="32">
        <f t="shared" si="233"/>
        <v>192.352941176496</v>
      </c>
      <c r="X2047" s="32"/>
      <c r="Y2047" s="32">
        <f t="shared" si="234"/>
        <v>192.352941176496</v>
      </c>
      <c r="Z2047" s="32">
        <f t="shared" si="235"/>
        <v>3.84705882352992</v>
      </c>
      <c r="AA2047" s="34">
        <v>3.6792439286163</v>
      </c>
      <c r="AB2047" s="24">
        <v>0.065</v>
      </c>
      <c r="AC2047" s="36"/>
      <c r="AD2047" s="36"/>
      <c r="AE2047" s="34" t="s">
        <v>2653</v>
      </c>
      <c r="AF2047" s="34" t="s">
        <v>44</v>
      </c>
      <c r="AG2047" s="24">
        <v>0</v>
      </c>
      <c r="AH2047" s="38" t="e">
        <v>#N/A</v>
      </c>
    </row>
    <row r="2048" ht="14.25" spans="1:34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1999</v>
      </c>
      <c r="I2048" s="20" t="s">
        <v>2000</v>
      </c>
      <c r="J2048" s="20" t="s">
        <v>2001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2652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0.065</v>
      </c>
      <c r="AC2048" s="36"/>
      <c r="AD2048" s="36"/>
      <c r="AE2048" s="34" t="s">
        <v>2653</v>
      </c>
      <c r="AF2048" s="34" t="s">
        <v>44</v>
      </c>
      <c r="AG2048" s="24">
        <v>0</v>
      </c>
      <c r="AH2048" s="38" t="e">
        <v>#N/A</v>
      </c>
    </row>
    <row r="2049" ht="14.25" spans="1:34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1999</v>
      </c>
      <c r="I2049" s="20" t="s">
        <v>2000</v>
      </c>
      <c r="J2049" s="20" t="s">
        <v>2001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2654</v>
      </c>
      <c r="R2049" s="30"/>
      <c r="S2049" s="34">
        <v>5483.60999999999</v>
      </c>
      <c r="T2049" s="34"/>
      <c r="U2049" s="50">
        <v>5483.60999999999</v>
      </c>
      <c r="V2049" s="32">
        <f t="shared" si="232"/>
        <v>0</v>
      </c>
      <c r="W2049" s="32">
        <f t="shared" si="233"/>
        <v>5376.08823529411</v>
      </c>
      <c r="X2049" s="32"/>
      <c r="Y2049" s="32">
        <f t="shared" si="234"/>
        <v>5376.08823529411</v>
      </c>
      <c r="Z2049" s="32">
        <f t="shared" si="235"/>
        <v>107.521764705883</v>
      </c>
      <c r="AA2049" s="34">
        <v>0</v>
      </c>
      <c r="AB2049" s="24">
        <v>0.065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ht="14.25" spans="1:34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1999</v>
      </c>
      <c r="I2050" s="20" t="s">
        <v>2000</v>
      </c>
      <c r="J2050" s="20" t="s">
        <v>2001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2654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0.065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ht="14.25" spans="1:34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1999</v>
      </c>
      <c r="I2051" s="20" t="s">
        <v>2000</v>
      </c>
      <c r="J2051" s="20" t="s">
        <v>2001</v>
      </c>
      <c r="K2051" s="20" t="str">
        <f>VLOOKUP(H2051,[1]媒体表!C:T,18,0)</f>
        <v>北京多彩</v>
      </c>
      <c r="L2051" s="20" t="s">
        <v>2655</v>
      </c>
      <c r="M2051" s="20"/>
      <c r="N2051" s="20" t="s">
        <v>42</v>
      </c>
      <c r="O2051" s="20" t="s">
        <v>43</v>
      </c>
      <c r="P2051" s="47">
        <v>0.02</v>
      </c>
      <c r="Q2051" s="48" t="s">
        <v>2656</v>
      </c>
      <c r="R2051" s="30"/>
      <c r="S2051" s="34">
        <v>70420.48</v>
      </c>
      <c r="T2051" s="34"/>
      <c r="U2051" s="32">
        <v>0</v>
      </c>
      <c r="V2051" s="32">
        <f t="shared" si="232"/>
        <v>70420.48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0.065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ht="14.25" spans="1:34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1999</v>
      </c>
      <c r="I2052" s="20" t="s">
        <v>2000</v>
      </c>
      <c r="J2052" s="20" t="s">
        <v>2001</v>
      </c>
      <c r="K2052" s="20" t="str">
        <f>VLOOKUP(H2052,[1]媒体表!C:T,18,0)</f>
        <v>北京多彩</v>
      </c>
      <c r="L2052" s="20" t="s">
        <v>2657</v>
      </c>
      <c r="M2052" s="20"/>
      <c r="N2052" s="20" t="s">
        <v>42</v>
      </c>
      <c r="O2052" s="20" t="s">
        <v>43</v>
      </c>
      <c r="P2052" s="47">
        <v>0.02</v>
      </c>
      <c r="Q2052" s="48" t="s">
        <v>2658</v>
      </c>
      <c r="R2052" s="30"/>
      <c r="S2052" s="34">
        <v>320119.9</v>
      </c>
      <c r="T2052" s="34"/>
      <c r="U2052" s="34">
        <v>320119.9</v>
      </c>
      <c r="V2052" s="32">
        <f t="shared" si="232"/>
        <v>0</v>
      </c>
      <c r="W2052" s="32">
        <f t="shared" si="233"/>
        <v>313843.039215686</v>
      </c>
      <c r="X2052" s="32"/>
      <c r="Y2052" s="32">
        <v>201218.51</v>
      </c>
      <c r="Z2052" s="32">
        <f t="shared" si="235"/>
        <v>6276.86078431376</v>
      </c>
      <c r="AA2052" s="34">
        <v>0</v>
      </c>
      <c r="AB2052" s="24">
        <v>0.065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ht="14.25" spans="1:34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1999</v>
      </c>
      <c r="I2053" s="20" t="s">
        <v>2000</v>
      </c>
      <c r="J2053" s="20" t="s">
        <v>2001</v>
      </c>
      <c r="K2053" s="20" t="str">
        <f>VLOOKUP(H2053,[1]媒体表!C:T,18,0)</f>
        <v>北京多彩</v>
      </c>
      <c r="L2053" s="20" t="s">
        <v>2657</v>
      </c>
      <c r="M2053" s="20"/>
      <c r="N2053" s="20" t="s">
        <v>42</v>
      </c>
      <c r="O2053" s="20" t="s">
        <v>82</v>
      </c>
      <c r="P2053" s="47">
        <v>0</v>
      </c>
      <c r="Q2053" s="48" t="s">
        <v>2658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</v>
      </c>
      <c r="AB2053" s="24">
        <v>0.065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ht="14.25" spans="1:34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2659</v>
      </c>
      <c r="F2054" s="20" t="s">
        <v>2660</v>
      </c>
      <c r="G2054" s="20" t="s">
        <v>2659</v>
      </c>
      <c r="H2054" s="20" t="s">
        <v>1999</v>
      </c>
      <c r="I2054" s="20" t="s">
        <v>2000</v>
      </c>
      <c r="J2054" s="20" t="s">
        <v>2001</v>
      </c>
      <c r="K2054" s="20" t="str">
        <f>VLOOKUP(H2054,[1]媒体表!C:T,18,0)</f>
        <v>北京多彩</v>
      </c>
      <c r="L2054" s="20" t="s">
        <v>2661</v>
      </c>
      <c r="M2054" s="20"/>
      <c r="N2054" s="20" t="s">
        <v>59</v>
      </c>
      <c r="O2054" s="20" t="s">
        <v>43</v>
      </c>
      <c r="P2054" s="47">
        <v>0.04</v>
      </c>
      <c r="Q2054" s="48" t="s">
        <v>2662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ht="14.25" spans="1:34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2659</v>
      </c>
      <c r="F2055" s="20" t="s">
        <v>2660</v>
      </c>
      <c r="G2055" s="20" t="s">
        <v>2659</v>
      </c>
      <c r="H2055" s="20" t="s">
        <v>1999</v>
      </c>
      <c r="I2055" s="20" t="s">
        <v>2000</v>
      </c>
      <c r="J2055" s="20" t="s">
        <v>2001</v>
      </c>
      <c r="K2055" s="20" t="str">
        <f>VLOOKUP(H2055,[1]媒体表!C:T,18,0)</f>
        <v>北京多彩</v>
      </c>
      <c r="L2055" s="20" t="s">
        <v>2661</v>
      </c>
      <c r="M2055" s="20"/>
      <c r="N2055" s="20" t="s">
        <v>42</v>
      </c>
      <c r="O2055" s="20" t="s">
        <v>43</v>
      </c>
      <c r="P2055" s="47">
        <v>0.02</v>
      </c>
      <c r="Q2055" s="48" t="s">
        <v>2663</v>
      </c>
      <c r="R2055" s="30"/>
      <c r="S2055" s="34">
        <v>60674.24</v>
      </c>
      <c r="T2055" s="34">
        <v>45900</v>
      </c>
      <c r="U2055" s="32">
        <v>86743.4</v>
      </c>
      <c r="V2055" s="32">
        <f t="shared" si="232"/>
        <v>19830.84</v>
      </c>
      <c r="W2055" s="32">
        <f t="shared" si="233"/>
        <v>85042.5490196078</v>
      </c>
      <c r="X2055" s="32"/>
      <c r="Y2055" s="32">
        <f t="shared" si="236"/>
        <v>85042.5490196078</v>
      </c>
      <c r="Z2055" s="32">
        <f t="shared" si="235"/>
        <v>1700.85098039216</v>
      </c>
      <c r="AA2055" s="34">
        <v>53191.6879662558</v>
      </c>
      <c r="AB2055" s="24">
        <v>0.065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ht="14.25" spans="1:34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2664</v>
      </c>
      <c r="F2056" s="20" t="s">
        <v>2664</v>
      </c>
      <c r="G2056" s="20" t="s">
        <v>2664</v>
      </c>
      <c r="H2056" s="20" t="s">
        <v>1999</v>
      </c>
      <c r="I2056" s="20" t="s">
        <v>2000</v>
      </c>
      <c r="J2056" s="20" t="s">
        <v>2001</v>
      </c>
      <c r="K2056" s="20" t="str">
        <f>VLOOKUP(H2056,[1]媒体表!C:T,18,0)</f>
        <v>北京多彩</v>
      </c>
      <c r="L2056" s="20" t="s">
        <v>2664</v>
      </c>
      <c r="M2056" s="20"/>
      <c r="N2056" s="20" t="s">
        <v>42</v>
      </c>
      <c r="O2056" s="20" t="s">
        <v>82</v>
      </c>
      <c r="P2056" s="47">
        <v>0</v>
      </c>
      <c r="Q2056" s="48" t="s">
        <v>2665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0.065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ht="14.25" spans="1:34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2664</v>
      </c>
      <c r="F2057" s="20" t="s">
        <v>2664</v>
      </c>
      <c r="G2057" s="20" t="s">
        <v>2664</v>
      </c>
      <c r="H2057" s="20" t="s">
        <v>1999</v>
      </c>
      <c r="I2057" s="20" t="s">
        <v>2000</v>
      </c>
      <c r="J2057" s="20" t="s">
        <v>2001</v>
      </c>
      <c r="K2057" s="20" t="str">
        <f>VLOOKUP(H2057,[1]媒体表!C:T,18,0)</f>
        <v>北京多彩</v>
      </c>
      <c r="L2057" s="20" t="s">
        <v>2664</v>
      </c>
      <c r="M2057" s="20"/>
      <c r="N2057" s="20" t="s">
        <v>333</v>
      </c>
      <c r="O2057" s="20" t="s">
        <v>82</v>
      </c>
      <c r="P2057" s="47">
        <v>0</v>
      </c>
      <c r="Q2057" s="48" t="s">
        <v>2665</v>
      </c>
      <c r="R2057" s="30"/>
      <c r="S2057" s="34">
        <v>-2172.78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ht="14.25" spans="1:34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2666</v>
      </c>
      <c r="F2058" s="20" t="s">
        <v>2666</v>
      </c>
      <c r="G2058" s="20" t="s">
        <v>2666</v>
      </c>
      <c r="H2058" s="20" t="s">
        <v>1999</v>
      </c>
      <c r="I2058" s="20" t="s">
        <v>2000</v>
      </c>
      <c r="J2058" s="20" t="s">
        <v>2001</v>
      </c>
      <c r="K2058" s="20" t="str">
        <f>VLOOKUP(H2058,[1]媒体表!C:T,18,0)</f>
        <v>北京多彩</v>
      </c>
      <c r="L2058" s="20" t="s">
        <v>2667</v>
      </c>
      <c r="M2058" s="20"/>
      <c r="N2058" s="20" t="s">
        <v>42</v>
      </c>
      <c r="O2058" s="20" t="s">
        <v>43</v>
      </c>
      <c r="P2058" s="47">
        <v>0.03</v>
      </c>
      <c r="Q2058" s="48" t="s">
        <v>2668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0.065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ht="14.25" spans="1:34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2669</v>
      </c>
      <c r="F2059" s="20" t="s">
        <v>2669</v>
      </c>
      <c r="G2059" s="20" t="s">
        <v>2669</v>
      </c>
      <c r="H2059" s="20" t="s">
        <v>1999</v>
      </c>
      <c r="I2059" s="20" t="s">
        <v>2000</v>
      </c>
      <c r="J2059" s="20" t="s">
        <v>2001</v>
      </c>
      <c r="K2059" s="20" t="str">
        <f>VLOOKUP(H2059,[1]媒体表!C:T,18,0)</f>
        <v>北京多彩</v>
      </c>
      <c r="L2059" s="20" t="s">
        <v>2664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</v>
      </c>
      <c r="W2059" s="32">
        <f t="shared" si="233"/>
        <v>25869.2058823529</v>
      </c>
      <c r="X2059" s="32"/>
      <c r="Y2059" s="32">
        <f t="shared" si="236"/>
        <v>25869.2058823529</v>
      </c>
      <c r="Z2059" s="32">
        <f t="shared" si="235"/>
        <v>517.38411764706</v>
      </c>
      <c r="AA2059" s="34">
        <v>33783.7927521959</v>
      </c>
      <c r="AB2059" s="24">
        <v>0.065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ht="14.25" spans="1:34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1863</v>
      </c>
      <c r="F2060" s="20" t="s">
        <v>1863</v>
      </c>
      <c r="G2060" s="20" t="s">
        <v>1863</v>
      </c>
      <c r="H2060" s="20" t="s">
        <v>1999</v>
      </c>
      <c r="I2060" s="20" t="s">
        <v>2000</v>
      </c>
      <c r="J2060" s="20" t="s">
        <v>2001</v>
      </c>
      <c r="K2060" s="20" t="str">
        <f>VLOOKUP(H2060,[1]媒体表!C:T,18,0)</f>
        <v>北京多彩</v>
      </c>
      <c r="L2060" s="20" t="s">
        <v>1863</v>
      </c>
      <c r="M2060" s="20"/>
      <c r="N2060" s="20" t="s">
        <v>59</v>
      </c>
      <c r="O2060" s="20" t="s">
        <v>43</v>
      </c>
      <c r="P2060" s="47">
        <v>0.08</v>
      </c>
      <c r="Q2060" s="48" t="s">
        <v>2670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ht="14.25" spans="1:34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1863</v>
      </c>
      <c r="F2061" s="20" t="s">
        <v>1863</v>
      </c>
      <c r="G2061" s="20" t="s">
        <v>1863</v>
      </c>
      <c r="H2061" s="20" t="s">
        <v>1999</v>
      </c>
      <c r="I2061" s="20" t="s">
        <v>2000</v>
      </c>
      <c r="J2061" s="20" t="s">
        <v>2001</v>
      </c>
      <c r="K2061" s="20" t="str">
        <f>VLOOKUP(H2061,[1]媒体表!C:T,18,0)</f>
        <v>北京多彩</v>
      </c>
      <c r="L2061" s="20" t="s">
        <v>1863</v>
      </c>
      <c r="M2061" s="20"/>
      <c r="N2061" s="20" t="s">
        <v>42</v>
      </c>
      <c r="O2061" s="20" t="s">
        <v>43</v>
      </c>
      <c r="P2061" s="47">
        <v>0.02</v>
      </c>
      <c r="Q2061" s="48" t="s">
        <v>2671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1657.6</v>
      </c>
      <c r="W2061" s="32">
        <f t="shared" si="233"/>
        <v>44632.2549019608</v>
      </c>
      <c r="X2061" s="32"/>
      <c r="Y2061" s="32">
        <f t="shared" si="236"/>
        <v>44632.2549019608</v>
      </c>
      <c r="Z2061" s="32">
        <f t="shared" si="235"/>
        <v>892.645098039218</v>
      </c>
      <c r="AA2061" s="34">
        <v>27916.201987644</v>
      </c>
      <c r="AB2061" s="24">
        <v>0.065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ht="14.25" spans="1:34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1999</v>
      </c>
      <c r="I2062" s="20" t="s">
        <v>2000</v>
      </c>
      <c r="J2062" s="20" t="s">
        <v>2001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2672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</v>
      </c>
      <c r="X2062" s="32"/>
      <c r="Y2062" s="32">
        <f t="shared" si="236"/>
        <v>68422.8431372549</v>
      </c>
      <c r="Z2062" s="32">
        <f t="shared" si="235"/>
        <v>1368.45686274509</v>
      </c>
      <c r="AA2062" s="34">
        <v>42796.5361325398</v>
      </c>
      <c r="AB2062" s="24">
        <v>0.065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ht="14.25" spans="1:34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1999</v>
      </c>
      <c r="I2063" s="20" t="s">
        <v>2000</v>
      </c>
      <c r="J2063" s="20" t="s">
        <v>2001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2672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</v>
      </c>
      <c r="X2063" s="32"/>
      <c r="Y2063" s="32">
        <f t="shared" si="236"/>
        <v>9530.04901960784</v>
      </c>
      <c r="Z2063" s="32">
        <f t="shared" si="235"/>
        <v>190.600980392157</v>
      </c>
      <c r="AA2063" s="34">
        <v>5960.77374911734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ht="14.25" spans="1:34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2673</v>
      </c>
      <c r="F2064" s="20" t="s">
        <v>2673</v>
      </c>
      <c r="G2064" s="20" t="s">
        <v>2673</v>
      </c>
      <c r="H2064" s="20" t="s">
        <v>1999</v>
      </c>
      <c r="I2064" s="20" t="s">
        <v>2000</v>
      </c>
      <c r="J2064" s="20" t="s">
        <v>2001</v>
      </c>
      <c r="K2064" s="20" t="str">
        <f>VLOOKUP(H2064,[1]媒体表!C:T,18,0)</f>
        <v>北京多彩</v>
      </c>
      <c r="L2064" s="20" t="s">
        <v>2673</v>
      </c>
      <c r="M2064" s="20"/>
      <c r="N2064" s="20" t="s">
        <v>42</v>
      </c>
      <c r="O2064" s="20" t="s">
        <v>43</v>
      </c>
      <c r="P2064" s="47">
        <v>0.03</v>
      </c>
      <c r="Q2064" s="48" t="s">
        <v>2674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0.065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ht="14.25" spans="1:34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1696</v>
      </c>
      <c r="F2065" s="20" t="s">
        <v>2675</v>
      </c>
      <c r="G2065" s="20" t="s">
        <v>1696</v>
      </c>
      <c r="H2065" s="20" t="s">
        <v>1999</v>
      </c>
      <c r="I2065" s="20" t="s">
        <v>2000</v>
      </c>
      <c r="J2065" s="20" t="s">
        <v>2001</v>
      </c>
      <c r="K2065" s="20" t="str">
        <f>VLOOKUP(H2065,[1]媒体表!C:T,18,0)</f>
        <v>北京多彩</v>
      </c>
      <c r="L2065" s="20" t="s">
        <v>1697</v>
      </c>
      <c r="M2065" s="20"/>
      <c r="N2065" s="20" t="s">
        <v>42</v>
      </c>
      <c r="O2065" s="20" t="s">
        <v>43</v>
      </c>
      <c r="P2065" s="47">
        <v>0.03</v>
      </c>
      <c r="Q2065" s="48" t="s">
        <v>2676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</v>
      </c>
      <c r="X2065" s="32"/>
      <c r="Y2065" s="32">
        <f t="shared" si="236"/>
        <v>41997.1262135922</v>
      </c>
      <c r="Z2065" s="32">
        <f t="shared" si="235"/>
        <v>1259.91378640777</v>
      </c>
      <c r="AA2065" s="34">
        <v>0</v>
      </c>
      <c r="AB2065" s="24">
        <v>0.065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ht="14.25" spans="1:34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1696</v>
      </c>
      <c r="F2066" s="20" t="s">
        <v>2675</v>
      </c>
      <c r="G2066" s="20" t="s">
        <v>1696</v>
      </c>
      <c r="H2066" s="20" t="s">
        <v>1999</v>
      </c>
      <c r="I2066" s="20" t="s">
        <v>2000</v>
      </c>
      <c r="J2066" s="20" t="s">
        <v>2001</v>
      </c>
      <c r="K2066" s="20" t="str">
        <f>VLOOKUP(H2066,[1]媒体表!C:T,18,0)</f>
        <v>北京多彩</v>
      </c>
      <c r="L2066" s="20" t="s">
        <v>1697</v>
      </c>
      <c r="M2066" s="20"/>
      <c r="N2066" s="20" t="s">
        <v>42</v>
      </c>
      <c r="O2066" s="20" t="s">
        <v>82</v>
      </c>
      <c r="P2066" s="47">
        <v>0</v>
      </c>
      <c r="Q2066" s="48" t="s">
        <v>2676</v>
      </c>
      <c r="R2066" s="30"/>
      <c r="S2066" s="34">
        <v>0</v>
      </c>
      <c r="T2066" s="34">
        <v>100000</v>
      </c>
      <c r="U2066" s="49">
        <v>59276.96</v>
      </c>
      <c r="V2066" s="32">
        <f t="shared" si="237"/>
        <v>40723.04</v>
      </c>
      <c r="W2066" s="32">
        <f t="shared" si="233"/>
        <v>59276.96</v>
      </c>
      <c r="X2066" s="32"/>
      <c r="Y2066" s="32">
        <f t="shared" si="236"/>
        <v>59276.96</v>
      </c>
      <c r="Z2066" s="32">
        <f t="shared" si="235"/>
        <v>0</v>
      </c>
      <c r="AA2066" s="34">
        <v>62874.5994961239</v>
      </c>
      <c r="AB2066" s="24">
        <v>0.065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ht="14.25" spans="1:34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2677</v>
      </c>
      <c r="F2067" s="20" t="s">
        <v>2677</v>
      </c>
      <c r="G2067" s="20" t="s">
        <v>2677</v>
      </c>
      <c r="H2067" s="20" t="s">
        <v>1999</v>
      </c>
      <c r="I2067" s="20" t="s">
        <v>2000</v>
      </c>
      <c r="J2067" s="20" t="s">
        <v>2001</v>
      </c>
      <c r="K2067" s="20" t="str">
        <f>VLOOKUP(H2067,[1]媒体表!C:T,18,0)</f>
        <v>北京多彩</v>
      </c>
      <c r="L2067" s="20" t="s">
        <v>2677</v>
      </c>
      <c r="M2067" s="20"/>
      <c r="N2067" s="20" t="s">
        <v>42</v>
      </c>
      <c r="O2067" s="20" t="s">
        <v>43</v>
      </c>
      <c r="P2067" s="47">
        <v>0.01</v>
      </c>
      <c r="Q2067" s="48" t="s">
        <v>2678</v>
      </c>
      <c r="R2067" s="30"/>
      <c r="S2067" s="34">
        <v>3640.20000000001</v>
      </c>
      <c r="T2067" s="34"/>
      <c r="U2067" s="32">
        <v>0</v>
      </c>
      <c r="V2067" s="32">
        <f t="shared" si="237"/>
        <v>3640.20000000001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0.065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ht="14.25" spans="1:34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2679</v>
      </c>
      <c r="F2068" s="20" t="s">
        <v>2679</v>
      </c>
      <c r="G2068" s="20" t="s">
        <v>2679</v>
      </c>
      <c r="H2068" s="20" t="s">
        <v>1999</v>
      </c>
      <c r="I2068" s="20" t="s">
        <v>2000</v>
      </c>
      <c r="J2068" s="20" t="s">
        <v>2001</v>
      </c>
      <c r="K2068" s="20" t="str">
        <f>VLOOKUP(H2068,[1]媒体表!C:T,18,0)</f>
        <v>北京多彩</v>
      </c>
      <c r="L2068" s="20" t="s">
        <v>2680</v>
      </c>
      <c r="M2068" s="20"/>
      <c r="N2068" s="20" t="s">
        <v>42</v>
      </c>
      <c r="O2068" s="20" t="s">
        <v>43</v>
      </c>
      <c r="P2068" s="47">
        <v>0.04</v>
      </c>
      <c r="Q2068" s="48" t="s">
        <v>2681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19867.3076923077</v>
      </c>
      <c r="X2068" s="32"/>
      <c r="Y2068" s="32">
        <f t="shared" si="236"/>
        <v>19867.3076923077</v>
      </c>
      <c r="Z2068" s="32">
        <f t="shared" si="235"/>
        <v>794.692307692309</v>
      </c>
      <c r="AA2068" s="34">
        <v>16739.4561020256</v>
      </c>
      <c r="AB2068" s="24">
        <v>0.065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ht="14.25" spans="1:34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2682</v>
      </c>
      <c r="F2069" s="20" t="s">
        <v>2682</v>
      </c>
      <c r="G2069" s="20" t="s">
        <v>2682</v>
      </c>
      <c r="H2069" s="20" t="s">
        <v>1999</v>
      </c>
      <c r="I2069" s="20" t="s">
        <v>2000</v>
      </c>
      <c r="J2069" s="20" t="s">
        <v>2001</v>
      </c>
      <c r="K2069" s="20" t="str">
        <f>VLOOKUP(H2069,[1]媒体表!C:T,18,0)</f>
        <v>北京多彩</v>
      </c>
      <c r="L2069" s="20" t="s">
        <v>2680</v>
      </c>
      <c r="M2069" s="20"/>
      <c r="N2069" s="20" t="s">
        <v>59</v>
      </c>
      <c r="O2069" s="20" t="s">
        <v>43</v>
      </c>
      <c r="P2069" s="47">
        <v>0.06</v>
      </c>
      <c r="Q2069" s="48" t="s">
        <v>2683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ht="14.25" spans="1:34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2682</v>
      </c>
      <c r="F2070" s="20" t="s">
        <v>2682</v>
      </c>
      <c r="G2070" s="20" t="s">
        <v>2682</v>
      </c>
      <c r="H2070" s="20" t="s">
        <v>1999</v>
      </c>
      <c r="I2070" s="20" t="s">
        <v>2000</v>
      </c>
      <c r="J2070" s="20" t="s">
        <v>2001</v>
      </c>
      <c r="K2070" s="20" t="str">
        <f>VLOOKUP(H2070,[1]媒体表!C:T,18,0)</f>
        <v>北京多彩</v>
      </c>
      <c r="L2070" s="20" t="s">
        <v>2680</v>
      </c>
      <c r="M2070" s="20"/>
      <c r="N2070" s="20" t="s">
        <v>42</v>
      </c>
      <c r="O2070" s="20" t="s">
        <v>43</v>
      </c>
      <c r="P2070" s="47">
        <v>0.02</v>
      </c>
      <c r="Q2070" s="48" t="s">
        <v>2683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0.065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ht="14.25" spans="1:34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2682</v>
      </c>
      <c r="F2071" s="20" t="s">
        <v>2682</v>
      </c>
      <c r="G2071" s="20" t="s">
        <v>2682</v>
      </c>
      <c r="H2071" s="20" t="s">
        <v>1999</v>
      </c>
      <c r="I2071" s="20" t="s">
        <v>2000</v>
      </c>
      <c r="J2071" s="20" t="s">
        <v>2001</v>
      </c>
      <c r="K2071" s="20" t="str">
        <f>VLOOKUP(H2071,[1]媒体表!C:T,18,0)</f>
        <v>北京多彩</v>
      </c>
      <c r="L2071" s="20" t="s">
        <v>2680</v>
      </c>
      <c r="M2071" s="20"/>
      <c r="N2071" s="20" t="s">
        <v>42</v>
      </c>
      <c r="O2071" s="20" t="s">
        <v>43</v>
      </c>
      <c r="P2071" s="47">
        <v>0.04</v>
      </c>
      <c r="Q2071" s="48" t="s">
        <v>2681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6380.96153846154</v>
      </c>
      <c r="X2071" s="32"/>
      <c r="Y2071" s="32">
        <f t="shared" si="236"/>
        <v>6380.96153846154</v>
      </c>
      <c r="Z2071" s="32">
        <f t="shared" si="235"/>
        <v>255.238461538462</v>
      </c>
      <c r="AA2071" s="34">
        <v>0</v>
      </c>
      <c r="AB2071" s="24">
        <v>0.065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ht="14.25" spans="1:34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2682</v>
      </c>
      <c r="F2072" s="20" t="s">
        <v>2682</v>
      </c>
      <c r="G2072" s="20" t="s">
        <v>2682</v>
      </c>
      <c r="H2072" s="20" t="s">
        <v>1999</v>
      </c>
      <c r="I2072" s="20" t="s">
        <v>2000</v>
      </c>
      <c r="J2072" s="20" t="s">
        <v>2001</v>
      </c>
      <c r="K2072" s="20" t="str">
        <f>VLOOKUP(H2072,[1]媒体表!C:T,18,0)</f>
        <v>北京多彩</v>
      </c>
      <c r="L2072" s="20" t="s">
        <v>2680</v>
      </c>
      <c r="M2072" s="20"/>
      <c r="N2072" s="20" t="s">
        <v>333</v>
      </c>
      <c r="O2072" s="20" t="s">
        <v>43</v>
      </c>
      <c r="P2072" s="47">
        <v>0.06</v>
      </c>
      <c r="Q2072" s="48" t="s">
        <v>2683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ht="14.25" spans="1:34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1999</v>
      </c>
      <c r="I2073" s="20" t="s">
        <v>2000</v>
      </c>
      <c r="J2073" s="20" t="s">
        <v>2001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2639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ht="14.25" spans="1:34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1999</v>
      </c>
      <c r="I2074" s="20" t="s">
        <v>2000</v>
      </c>
      <c r="J2074" s="20" t="s">
        <v>2001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2639</v>
      </c>
      <c r="R2074" s="30"/>
      <c r="S2074" s="34">
        <v>19472.81</v>
      </c>
      <c r="T2074" s="34"/>
      <c r="U2074" s="32">
        <v>0</v>
      </c>
      <c r="V2074" s="32">
        <f t="shared" si="237"/>
        <v>19472.81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ht="14.25" spans="1:34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1999</v>
      </c>
      <c r="I2075" s="20" t="s">
        <v>2000</v>
      </c>
      <c r="J2075" s="20" t="s">
        <v>2001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2640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0.065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ht="14.25" spans="1:34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1999</v>
      </c>
      <c r="I2076" s="20" t="s">
        <v>2000</v>
      </c>
      <c r="J2076" s="20" t="s">
        <v>2001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2684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0.065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ht="14.25" spans="1:34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2685</v>
      </c>
      <c r="G2077" s="20" t="s">
        <v>1236</v>
      </c>
      <c r="H2077" s="20" t="s">
        <v>1999</v>
      </c>
      <c r="I2077" s="20" t="s">
        <v>2000</v>
      </c>
      <c r="J2077" s="20" t="s">
        <v>2001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2640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0.065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ht="14.25" spans="1:34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1999</v>
      </c>
      <c r="I2078" s="20" t="s">
        <v>2000</v>
      </c>
      <c r="J2078" s="20" t="s">
        <v>2001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2686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</v>
      </c>
      <c r="X2078" s="32"/>
      <c r="Y2078" s="32">
        <f t="shared" si="236"/>
        <v>1687.11764705882</v>
      </c>
      <c r="Z2078" s="32">
        <f t="shared" si="235"/>
        <v>33.7423529411765</v>
      </c>
      <c r="AA2078" s="34">
        <v>0</v>
      </c>
      <c r="AB2078" s="24">
        <v>0.065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ht="14.25" spans="1:34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1999</v>
      </c>
      <c r="I2079" s="20" t="s">
        <v>2000</v>
      </c>
      <c r="J2079" s="20" t="s">
        <v>2001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2686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6072.96002857406</v>
      </c>
      <c r="AB2079" s="24">
        <v>0.065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ht="14.25" spans="1:34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2687</v>
      </c>
      <c r="F2080" s="20" t="s">
        <v>2687</v>
      </c>
      <c r="G2080" s="20" t="s">
        <v>2687</v>
      </c>
      <c r="H2080" s="20" t="s">
        <v>1999</v>
      </c>
      <c r="I2080" s="20" t="s">
        <v>2000</v>
      </c>
      <c r="J2080" s="20" t="s">
        <v>2001</v>
      </c>
      <c r="K2080" s="20" t="str">
        <f>VLOOKUP(H2080,[1]媒体表!C:T,18,0)</f>
        <v>北京多彩</v>
      </c>
      <c r="L2080" s="20" t="s">
        <v>2687</v>
      </c>
      <c r="M2080" s="20"/>
      <c r="N2080" s="20" t="s">
        <v>42</v>
      </c>
      <c r="O2080" s="20" t="s">
        <v>82</v>
      </c>
      <c r="P2080" s="47">
        <v>0</v>
      </c>
      <c r="Q2080" s="48" t="s">
        <v>2688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0.065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ht="14.25" spans="1:34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1867</v>
      </c>
      <c r="F2081" s="20" t="s">
        <v>1867</v>
      </c>
      <c r="G2081" s="20" t="s">
        <v>1867</v>
      </c>
      <c r="H2081" s="20" t="s">
        <v>1999</v>
      </c>
      <c r="I2081" s="20" t="s">
        <v>2000</v>
      </c>
      <c r="J2081" s="20" t="s">
        <v>2001</v>
      </c>
      <c r="K2081" s="20" t="str">
        <f>VLOOKUP(H2081,[1]媒体表!C:T,18,0)</f>
        <v>北京多彩</v>
      </c>
      <c r="L2081" s="20" t="s">
        <v>1867</v>
      </c>
      <c r="M2081" s="20"/>
      <c r="N2081" s="20" t="s">
        <v>59</v>
      </c>
      <c r="O2081" s="20" t="s">
        <v>82</v>
      </c>
      <c r="P2081" s="47">
        <v>0</v>
      </c>
      <c r="Q2081" s="48" t="s">
        <v>2689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ht="14.25" spans="1:34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1867</v>
      </c>
      <c r="F2082" s="20" t="s">
        <v>1867</v>
      </c>
      <c r="G2082" s="20" t="s">
        <v>1867</v>
      </c>
      <c r="H2082" s="20" t="s">
        <v>1999</v>
      </c>
      <c r="I2082" s="20" t="s">
        <v>2000</v>
      </c>
      <c r="J2082" s="20" t="s">
        <v>2001</v>
      </c>
      <c r="K2082" s="20" t="str">
        <f>VLOOKUP(H2082,[1]媒体表!C:T,18,0)</f>
        <v>北京多彩</v>
      </c>
      <c r="L2082" s="20" t="s">
        <v>1867</v>
      </c>
      <c r="M2082" s="20"/>
      <c r="N2082" s="20" t="s">
        <v>42</v>
      </c>
      <c r="O2082" s="20" t="s">
        <v>82</v>
      </c>
      <c r="P2082" s="47">
        <v>0</v>
      </c>
      <c r="Q2082" s="48" t="s">
        <v>2690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0.065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ht="14.25" spans="1:34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2691</v>
      </c>
      <c r="F2083" s="20" t="s">
        <v>2692</v>
      </c>
      <c r="G2083" s="20" t="s">
        <v>2691</v>
      </c>
      <c r="H2083" s="20" t="s">
        <v>1999</v>
      </c>
      <c r="I2083" s="20" t="s">
        <v>2000</v>
      </c>
      <c r="J2083" s="20" t="s">
        <v>2001</v>
      </c>
      <c r="K2083" s="20" t="str">
        <f>VLOOKUP(H2083,[1]媒体表!C:T,18,0)</f>
        <v>北京多彩</v>
      </c>
      <c r="L2083" s="20" t="s">
        <v>2691</v>
      </c>
      <c r="M2083" s="20"/>
      <c r="N2083" s="20" t="s">
        <v>42</v>
      </c>
      <c r="O2083" s="20" t="s">
        <v>43</v>
      </c>
      <c r="P2083" s="47">
        <v>0.02</v>
      </c>
      <c r="Q2083" s="48" t="s">
        <v>2693</v>
      </c>
      <c r="R2083" s="30"/>
      <c r="S2083" s="34">
        <v>257.4</v>
      </c>
      <c r="T2083" s="34"/>
      <c r="U2083" s="32">
        <v>0</v>
      </c>
      <c r="V2083" s="32">
        <f t="shared" si="237"/>
        <v>257.4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0.065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ht="14.25" spans="1:34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2694</v>
      </c>
      <c r="F2084" s="20" t="s">
        <v>2694</v>
      </c>
      <c r="G2084" s="20" t="s">
        <v>2694</v>
      </c>
      <c r="H2084" s="20" t="s">
        <v>1999</v>
      </c>
      <c r="I2084" s="20" t="s">
        <v>2000</v>
      </c>
      <c r="J2084" s="20" t="s">
        <v>2001</v>
      </c>
      <c r="K2084" s="20" t="str">
        <f>VLOOKUP(H2084,[1]媒体表!C:T,18,0)</f>
        <v>北京多彩</v>
      </c>
      <c r="L2084" s="20" t="s">
        <v>2694</v>
      </c>
      <c r="M2084" s="20"/>
      <c r="N2084" s="20" t="s">
        <v>42</v>
      </c>
      <c r="O2084" s="20" t="s">
        <v>43</v>
      </c>
      <c r="P2084" s="47">
        <v>0.03</v>
      </c>
      <c r="Q2084" s="48" t="s">
        <v>2695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0.065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ht="14.25" spans="1:34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1868</v>
      </c>
      <c r="F2085" s="20" t="s">
        <v>1868</v>
      </c>
      <c r="G2085" s="20" t="s">
        <v>1868</v>
      </c>
      <c r="H2085" s="20" t="s">
        <v>1999</v>
      </c>
      <c r="I2085" s="20" t="s">
        <v>2000</v>
      </c>
      <c r="J2085" s="20" t="s">
        <v>2001</v>
      </c>
      <c r="K2085" s="20" t="str">
        <f>VLOOKUP(H2085,[1]媒体表!C:T,18,0)</f>
        <v>北京多彩</v>
      </c>
      <c r="L2085" s="20" t="s">
        <v>1870</v>
      </c>
      <c r="M2085" s="20"/>
      <c r="N2085" s="20" t="s">
        <v>42</v>
      </c>
      <c r="O2085" s="20" t="s">
        <v>43</v>
      </c>
      <c r="P2085" s="47">
        <v>0.05</v>
      </c>
      <c r="Q2085" s="48" t="s">
        <v>2696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12494.5142857143</v>
      </c>
      <c r="X2085" s="32"/>
      <c r="Y2085" s="32">
        <f t="shared" si="236"/>
        <v>12494.5142857143</v>
      </c>
      <c r="Z2085" s="32">
        <f t="shared" si="235"/>
        <v>624.725714285714</v>
      </c>
      <c r="AA2085" s="34">
        <v>198200.441189435</v>
      </c>
      <c r="AB2085" s="24">
        <v>0.065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ht="14.25" spans="1:34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1868</v>
      </c>
      <c r="F2086" s="20" t="s">
        <v>1868</v>
      </c>
      <c r="G2086" s="20" t="s">
        <v>1868</v>
      </c>
      <c r="H2086" s="20" t="s">
        <v>1999</v>
      </c>
      <c r="I2086" s="20" t="s">
        <v>2000</v>
      </c>
      <c r="J2086" s="20" t="s">
        <v>2001</v>
      </c>
      <c r="K2086" s="20" t="str">
        <f>VLOOKUP(H2086,[1]媒体表!C:T,18,0)</f>
        <v>北京多彩</v>
      </c>
      <c r="L2086" s="20" t="s">
        <v>1870</v>
      </c>
      <c r="M2086" s="20"/>
      <c r="N2086" s="20" t="s">
        <v>42</v>
      </c>
      <c r="O2086" s="20" t="s">
        <v>82</v>
      </c>
      <c r="P2086" s="47">
        <v>0</v>
      </c>
      <c r="Q2086" s="48" t="s">
        <v>2696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0.065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ht="14.25" spans="1:34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1868</v>
      </c>
      <c r="F2087" s="20" t="s">
        <v>1868</v>
      </c>
      <c r="G2087" s="20" t="s">
        <v>1868</v>
      </c>
      <c r="H2087" s="20" t="s">
        <v>1999</v>
      </c>
      <c r="I2087" s="20" t="s">
        <v>2000</v>
      </c>
      <c r="J2087" s="20" t="s">
        <v>2001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2697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</v>
      </c>
      <c r="X2087" s="32"/>
      <c r="Y2087" s="32">
        <f t="shared" si="236"/>
        <v>16614.1809523809</v>
      </c>
      <c r="Z2087" s="32">
        <f t="shared" si="235"/>
        <v>830.70904761905</v>
      </c>
      <c r="AA2087" s="34">
        <v>575106.972253996</v>
      </c>
      <c r="AB2087" s="24">
        <v>0.065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ht="14.25" spans="1:34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1868</v>
      </c>
      <c r="F2088" s="20" t="s">
        <v>1868</v>
      </c>
      <c r="G2088" s="20" t="s">
        <v>1868</v>
      </c>
      <c r="H2088" s="20" t="s">
        <v>1999</v>
      </c>
      <c r="I2088" s="20" t="s">
        <v>2000</v>
      </c>
      <c r="J2088" s="20" t="s">
        <v>2001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2697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0.065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ht="14.25" spans="1:34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2698</v>
      </c>
      <c r="F2089" s="20" t="s">
        <v>2698</v>
      </c>
      <c r="G2089" s="20" t="s">
        <v>2698</v>
      </c>
      <c r="H2089" s="20" t="s">
        <v>1999</v>
      </c>
      <c r="I2089" s="20" t="s">
        <v>2000</v>
      </c>
      <c r="J2089" s="20" t="s">
        <v>2001</v>
      </c>
      <c r="K2089" s="20" t="str">
        <f>VLOOKUP(H2089,[1]媒体表!C:T,18,0)</f>
        <v>北京多彩</v>
      </c>
      <c r="L2089" s="20" t="s">
        <v>2699</v>
      </c>
      <c r="M2089" s="20"/>
      <c r="N2089" s="20" t="s">
        <v>42</v>
      </c>
      <c r="O2089" s="20" t="s">
        <v>43</v>
      </c>
      <c r="P2089" s="47">
        <v>0.04</v>
      </c>
      <c r="Q2089" s="48" t="s">
        <v>2700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6630.2</v>
      </c>
      <c r="W2089" s="32">
        <f t="shared" si="238"/>
        <v>34914.8076923077</v>
      </c>
      <c r="X2089" s="32"/>
      <c r="Y2089" s="32">
        <f t="shared" si="236"/>
        <v>34914.8076923077</v>
      </c>
      <c r="Z2089" s="32">
        <f t="shared" si="235"/>
        <v>1396.59230769231</v>
      </c>
      <c r="AA2089" s="34">
        <v>22266.416331593</v>
      </c>
      <c r="AB2089" s="24">
        <v>0.065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ht="14.25" spans="1:34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2701</v>
      </c>
      <c r="F2090" s="20" t="s">
        <v>2701</v>
      </c>
      <c r="G2090" s="20" t="s">
        <v>2701</v>
      </c>
      <c r="H2090" s="20" t="s">
        <v>1999</v>
      </c>
      <c r="I2090" s="20" t="s">
        <v>2000</v>
      </c>
      <c r="J2090" s="20" t="s">
        <v>2001</v>
      </c>
      <c r="K2090" s="20" t="str">
        <f>VLOOKUP(H2090,[1]媒体表!C:T,18,0)</f>
        <v>北京多彩</v>
      </c>
      <c r="L2090" s="20" t="s">
        <v>2701</v>
      </c>
      <c r="M2090" s="20"/>
      <c r="N2090" s="20" t="s">
        <v>42</v>
      </c>
      <c r="O2090" s="20" t="s">
        <v>82</v>
      </c>
      <c r="P2090" s="47">
        <v>0</v>
      </c>
      <c r="Q2090" s="48" t="s">
        <v>2702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0.065</v>
      </c>
      <c r="AC2090" s="36"/>
      <c r="AD2090" s="36"/>
      <c r="AE2090" s="34"/>
      <c r="AF2090" s="34" t="s">
        <v>2703</v>
      </c>
      <c r="AG2090" s="24"/>
      <c r="AH2090" s="38" t="e">
        <v>#N/A</v>
      </c>
    </row>
    <row r="2091" ht="14.25" spans="1:34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1999</v>
      </c>
      <c r="I2091" s="20" t="s">
        <v>2000</v>
      </c>
      <c r="J2091" s="20" t="s">
        <v>2001</v>
      </c>
      <c r="K2091" s="20" t="str">
        <f>VLOOKUP(H2091,[1]媒体表!C:T,18,0)</f>
        <v>北京多彩</v>
      </c>
      <c r="L2091" s="20" t="s">
        <v>2704</v>
      </c>
      <c r="M2091" s="20"/>
      <c r="N2091" s="20" t="s">
        <v>59</v>
      </c>
      <c r="O2091" s="20" t="s">
        <v>43</v>
      </c>
      <c r="P2091" s="47">
        <v>0.06</v>
      </c>
      <c r="Q2091" s="48" t="s">
        <v>2705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ht="14.25" spans="1:34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1999</v>
      </c>
      <c r="I2092" s="20" t="s">
        <v>2000</v>
      </c>
      <c r="J2092" s="20" t="s">
        <v>2001</v>
      </c>
      <c r="K2092" s="20" t="str">
        <f>VLOOKUP(H2092,[1]媒体表!C:T,18,0)</f>
        <v>北京多彩</v>
      </c>
      <c r="L2092" s="20" t="s">
        <v>2704</v>
      </c>
      <c r="M2092" s="20"/>
      <c r="N2092" s="20" t="s">
        <v>42</v>
      </c>
      <c r="O2092" s="20" t="s">
        <v>43</v>
      </c>
      <c r="P2092" s="47">
        <v>0.02</v>
      </c>
      <c r="Q2092" s="48" t="s">
        <v>2705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22855.8823529412</v>
      </c>
      <c r="X2092" s="32"/>
      <c r="Y2092" s="32">
        <f t="shared" si="236"/>
        <v>22855.8823529412</v>
      </c>
      <c r="Z2092" s="32">
        <f t="shared" si="235"/>
        <v>457.117647058825</v>
      </c>
      <c r="AA2092" s="34">
        <v>26650.112831075</v>
      </c>
      <c r="AB2092" s="24">
        <v>0.065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ht="14.25" spans="1:34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1999</v>
      </c>
      <c r="I2093" s="20" t="s">
        <v>2000</v>
      </c>
      <c r="J2093" s="20" t="s">
        <v>2001</v>
      </c>
      <c r="K2093" s="20" t="str">
        <f>VLOOKUP(H2093,[1]媒体表!C:T,18,0)</f>
        <v>北京多彩</v>
      </c>
      <c r="L2093" s="20" t="s">
        <v>2704</v>
      </c>
      <c r="M2093" s="20"/>
      <c r="N2093" s="20" t="s">
        <v>42</v>
      </c>
      <c r="O2093" s="20" t="s">
        <v>43</v>
      </c>
      <c r="P2093" s="47">
        <v>0.03</v>
      </c>
      <c r="Q2093" s="48" t="s">
        <v>2705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19560.3883495146</v>
      </c>
      <c r="X2093" s="32"/>
      <c r="Y2093" s="32">
        <f t="shared" si="236"/>
        <v>19560.3883495146</v>
      </c>
      <c r="Z2093" s="32">
        <f t="shared" si="235"/>
        <v>586.811650485437</v>
      </c>
      <c r="AA2093" s="34">
        <v>0</v>
      </c>
      <c r="AB2093" s="24">
        <v>0.065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ht="14.25" spans="1:34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1999</v>
      </c>
      <c r="I2094" s="20" t="s">
        <v>2000</v>
      </c>
      <c r="J2094" s="20" t="s">
        <v>2001</v>
      </c>
      <c r="K2094" s="20" t="str">
        <f>VLOOKUP(H2094,[1]媒体表!C:T,18,0)</f>
        <v>北京多彩</v>
      </c>
      <c r="L2094" s="20" t="s">
        <v>1994</v>
      </c>
      <c r="M2094" s="20"/>
      <c r="N2094" s="20" t="s">
        <v>59</v>
      </c>
      <c r="O2094" s="20" t="s">
        <v>43</v>
      </c>
      <c r="P2094" s="47">
        <v>0.1</v>
      </c>
      <c r="Q2094" s="48" t="s">
        <v>2706</v>
      </c>
      <c r="R2094" s="30"/>
      <c r="S2094" s="34">
        <v>9924.59000000001</v>
      </c>
      <c r="T2094" s="34"/>
      <c r="U2094" s="32">
        <v>0</v>
      </c>
      <c r="V2094" s="32">
        <f t="shared" si="237"/>
        <v>9924.59000000001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ht="14.25" spans="1:34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2707</v>
      </c>
      <c r="F2095" s="20" t="s">
        <v>2707</v>
      </c>
      <c r="G2095" s="20" t="s">
        <v>2707</v>
      </c>
      <c r="H2095" s="20" t="s">
        <v>1999</v>
      </c>
      <c r="I2095" s="20" t="s">
        <v>2000</v>
      </c>
      <c r="J2095" s="20" t="s">
        <v>2001</v>
      </c>
      <c r="K2095" s="20" t="str">
        <f>VLOOKUP(H2095,[1]媒体表!C:T,18,0)</f>
        <v>北京多彩</v>
      </c>
      <c r="L2095" s="20" t="s">
        <v>2707</v>
      </c>
      <c r="M2095" s="20"/>
      <c r="N2095" s="20" t="s">
        <v>42</v>
      </c>
      <c r="O2095" s="20" t="s">
        <v>82</v>
      </c>
      <c r="P2095" s="47">
        <v>0</v>
      </c>
      <c r="Q2095" s="48" t="s">
        <v>2708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</v>
      </c>
      <c r="AB2095" s="24">
        <v>0.065</v>
      </c>
      <c r="AC2095" s="36"/>
      <c r="AD2095" s="36"/>
      <c r="AE2095" s="34" t="s">
        <v>2709</v>
      </c>
      <c r="AF2095" s="34" t="s">
        <v>44</v>
      </c>
      <c r="AG2095" s="24">
        <v>0</v>
      </c>
      <c r="AH2095" s="38" t="e">
        <v>#N/A</v>
      </c>
    </row>
    <row r="2096" ht="14.25" spans="1:34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1999</v>
      </c>
      <c r="I2096" s="20" t="s">
        <v>2000</v>
      </c>
      <c r="J2096" s="20" t="s">
        <v>2001</v>
      </c>
      <c r="K2096" s="20" t="str">
        <f>VLOOKUP(H2096,[1]媒体表!C:T,18,0)</f>
        <v>北京多彩</v>
      </c>
      <c r="L2096" s="20" t="s">
        <v>2710</v>
      </c>
      <c r="M2096" s="20"/>
      <c r="N2096" s="20" t="s">
        <v>59</v>
      </c>
      <c r="O2096" s="20" t="s">
        <v>43</v>
      </c>
      <c r="P2096" s="47">
        <v>0.15</v>
      </c>
      <c r="Q2096" s="48" t="s">
        <v>2711</v>
      </c>
      <c r="R2096" s="30"/>
      <c r="S2096" s="34">
        <v>8.74000000000069</v>
      </c>
      <c r="T2096" s="34"/>
      <c r="U2096" s="32">
        <v>0</v>
      </c>
      <c r="V2096" s="32">
        <f t="shared" si="237"/>
        <v>8.74000000000069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ht="14.25" spans="1:34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1999</v>
      </c>
      <c r="I2097" s="20" t="s">
        <v>2000</v>
      </c>
      <c r="J2097" s="20" t="s">
        <v>2001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2712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</v>
      </c>
      <c r="X2097" s="32"/>
      <c r="Y2097" s="32">
        <f t="shared" si="239"/>
        <v>490.384615384615</v>
      </c>
      <c r="Z2097" s="32">
        <f t="shared" si="235"/>
        <v>19.6153846153846</v>
      </c>
      <c r="AA2097" s="34">
        <v>312.735733932385</v>
      </c>
      <c r="AB2097" s="24">
        <v>0.065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ht="14.25" spans="1:34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1999</v>
      </c>
      <c r="I2098" s="20" t="s">
        <v>2000</v>
      </c>
      <c r="J2098" s="20" t="s">
        <v>2001</v>
      </c>
      <c r="K2098" s="20" t="str">
        <f>VLOOKUP(H2098,[1]媒体表!C:T,18,0)</f>
        <v>北京多彩</v>
      </c>
      <c r="L2098" s="20" t="s">
        <v>2713</v>
      </c>
      <c r="M2098" s="20"/>
      <c r="N2098" s="20" t="s">
        <v>42</v>
      </c>
      <c r="O2098" s="20" t="s">
        <v>43</v>
      </c>
      <c r="P2098" s="47">
        <v>0.04</v>
      </c>
      <c r="Q2098" s="48" t="s">
        <v>2714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4887.98076923077</v>
      </c>
      <c r="X2098" s="32"/>
      <c r="Y2098" s="32">
        <f t="shared" si="239"/>
        <v>4887.98076923077</v>
      </c>
      <c r="Z2098" s="32">
        <f t="shared" si="235"/>
        <v>195.51923076923</v>
      </c>
      <c r="AA2098" s="34">
        <v>3117.23941852016</v>
      </c>
      <c r="AB2098" s="24">
        <v>0.065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ht="14.25" spans="1:34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2715</v>
      </c>
      <c r="F2099" s="20" t="s">
        <v>2715</v>
      </c>
      <c r="G2099" s="20" t="s">
        <v>2715</v>
      </c>
      <c r="H2099" s="20" t="s">
        <v>1999</v>
      </c>
      <c r="I2099" s="20" t="s">
        <v>2000</v>
      </c>
      <c r="J2099" s="20" t="s">
        <v>2001</v>
      </c>
      <c r="K2099" s="20" t="str">
        <f>VLOOKUP(H2099,[1]媒体表!C:T,18,0)</f>
        <v>北京多彩</v>
      </c>
      <c r="L2099" s="20" t="s">
        <v>2715</v>
      </c>
      <c r="M2099" s="20"/>
      <c r="N2099" s="20" t="s">
        <v>42</v>
      </c>
      <c r="O2099" s="20" t="s">
        <v>43</v>
      </c>
      <c r="P2099" s="47">
        <v>0.02</v>
      </c>
      <c r="Q2099" s="48" t="s">
        <v>2716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0.065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ht="14.25" spans="1:34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2717</v>
      </c>
      <c r="F2100" s="20" t="s">
        <v>2717</v>
      </c>
      <c r="G2100" s="20" t="s">
        <v>2717</v>
      </c>
      <c r="H2100" s="20" t="s">
        <v>1999</v>
      </c>
      <c r="I2100" s="20" t="s">
        <v>2000</v>
      </c>
      <c r="J2100" s="20" t="s">
        <v>2001</v>
      </c>
      <c r="K2100" s="20" t="str">
        <f>VLOOKUP(H2100,[1]媒体表!C:T,18,0)</f>
        <v>北京多彩</v>
      </c>
      <c r="L2100" s="20" t="s">
        <v>2717</v>
      </c>
      <c r="M2100" s="20"/>
      <c r="N2100" s="20" t="s">
        <v>59</v>
      </c>
      <c r="O2100" s="20" t="s">
        <v>43</v>
      </c>
      <c r="P2100" s="47">
        <v>0.06</v>
      </c>
      <c r="Q2100" s="48" t="s">
        <v>2718</v>
      </c>
      <c r="R2100" s="30"/>
      <c r="S2100" s="34">
        <v>84.2299999999996</v>
      </c>
      <c r="T2100" s="34"/>
      <c r="U2100" s="32">
        <v>0</v>
      </c>
      <c r="V2100" s="32">
        <f t="shared" si="237"/>
        <v>84.2299999999996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ht="14.25" spans="1:34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2571</v>
      </c>
      <c r="F2101" s="20" t="s">
        <v>2571</v>
      </c>
      <c r="G2101" s="20" t="s">
        <v>2571</v>
      </c>
      <c r="H2101" s="20" t="s">
        <v>1999</v>
      </c>
      <c r="I2101" s="20" t="s">
        <v>2000</v>
      </c>
      <c r="J2101" s="20" t="s">
        <v>2001</v>
      </c>
      <c r="K2101" s="20" t="str">
        <f>VLOOKUP(H2101,[1]媒体表!C:T,18,0)</f>
        <v>北京多彩</v>
      </c>
      <c r="L2101" s="20" t="s">
        <v>2573</v>
      </c>
      <c r="M2101" s="20"/>
      <c r="N2101" s="20" t="s">
        <v>42</v>
      </c>
      <c r="O2101" s="20" t="s">
        <v>43</v>
      </c>
      <c r="P2101" s="47">
        <v>0.02</v>
      </c>
      <c r="Q2101" s="48" t="s">
        <v>2574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</v>
      </c>
      <c r="X2101" s="32"/>
      <c r="Y2101" s="32">
        <f t="shared" si="239"/>
        <v>2958.82352941176</v>
      </c>
      <c r="Z2101" s="32">
        <f t="shared" si="235"/>
        <v>59.1764705882351</v>
      </c>
      <c r="AA2101" s="34">
        <v>0</v>
      </c>
      <c r="AB2101" s="24">
        <v>0.065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ht="14.25" spans="1:34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2571</v>
      </c>
      <c r="F2102" s="20" t="s">
        <v>2571</v>
      </c>
      <c r="G2102" s="20" t="s">
        <v>2571</v>
      </c>
      <c r="H2102" s="20" t="s">
        <v>1999</v>
      </c>
      <c r="I2102" s="20" t="s">
        <v>2000</v>
      </c>
      <c r="J2102" s="20" t="s">
        <v>2001</v>
      </c>
      <c r="K2102" s="20" t="str">
        <f>VLOOKUP(H2102,[1]媒体表!C:T,18,0)</f>
        <v>北京多彩</v>
      </c>
      <c r="L2102" s="20" t="s">
        <v>2575</v>
      </c>
      <c r="M2102" s="20"/>
      <c r="N2102" s="20" t="s">
        <v>42</v>
      </c>
      <c r="O2102" s="20" t="s">
        <v>43</v>
      </c>
      <c r="P2102" s="47">
        <v>0.02</v>
      </c>
      <c r="Q2102" s="48" t="s">
        <v>2576</v>
      </c>
      <c r="R2102" s="30"/>
      <c r="S2102" s="34">
        <v>1031.9</v>
      </c>
      <c r="T2102" s="34"/>
      <c r="U2102" s="50">
        <v>1031.9</v>
      </c>
      <c r="V2102" s="32">
        <f t="shared" si="237"/>
        <v>0</v>
      </c>
      <c r="W2102" s="32">
        <f t="shared" si="238"/>
        <v>1011.66666666667</v>
      </c>
      <c r="X2102" s="32"/>
      <c r="Y2102" s="32">
        <f t="shared" si="239"/>
        <v>1011.66666666667</v>
      </c>
      <c r="Z2102" s="32">
        <f t="shared" si="235"/>
        <v>20.2333333333333</v>
      </c>
      <c r="AA2102" s="34">
        <v>0</v>
      </c>
      <c r="AB2102" s="24">
        <v>0.065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ht="14.25" spans="1:34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2589</v>
      </c>
      <c r="F2103" s="20" t="s">
        <v>2589</v>
      </c>
      <c r="G2103" s="20" t="s">
        <v>2589</v>
      </c>
      <c r="H2103" s="20" t="s">
        <v>1999</v>
      </c>
      <c r="I2103" s="20" t="s">
        <v>2000</v>
      </c>
      <c r="J2103" s="20" t="s">
        <v>2001</v>
      </c>
      <c r="K2103" s="20" t="str">
        <f>VLOOKUP(H2103,[1]媒体表!C:T,18,0)</f>
        <v>北京多彩</v>
      </c>
      <c r="L2103" s="20" t="s">
        <v>2589</v>
      </c>
      <c r="M2103" s="20"/>
      <c r="N2103" s="20" t="s">
        <v>42</v>
      </c>
      <c r="O2103" s="20" t="s">
        <v>43</v>
      </c>
      <c r="P2103" s="47">
        <v>0.04</v>
      </c>
      <c r="Q2103" s="48" t="s">
        <v>2590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0.065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ht="14.25" spans="1:34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1999</v>
      </c>
      <c r="I2104" s="20" t="s">
        <v>2000</v>
      </c>
      <c r="J2104" s="20" t="s">
        <v>2001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2719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ht="14.25" spans="1:34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1999</v>
      </c>
      <c r="I2105" s="20" t="s">
        <v>2000</v>
      </c>
      <c r="J2105" s="20" t="s">
        <v>2001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2719</v>
      </c>
      <c r="R2105" s="30"/>
      <c r="S2105" s="34">
        <v>451001.58</v>
      </c>
      <c r="T2105" s="34"/>
      <c r="U2105" s="32">
        <v>154763.9</v>
      </c>
      <c r="V2105" s="32">
        <f t="shared" si="237"/>
        <v>296237.68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</v>
      </c>
      <c r="AB2105" s="24">
        <v>0.065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ht="14.25" spans="1:34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1999</v>
      </c>
      <c r="I2106" s="20" t="s">
        <v>2000</v>
      </c>
      <c r="J2106" s="20" t="s">
        <v>2001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2720</v>
      </c>
      <c r="R2106" s="30"/>
      <c r="S2106" s="34">
        <v>8621.30000000005</v>
      </c>
      <c r="T2106" s="34">
        <v>1320000</v>
      </c>
      <c r="U2106" s="32">
        <v>1231770.5</v>
      </c>
      <c r="V2106" s="32">
        <f t="shared" si="237"/>
        <v>96850.8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755330.688928944</v>
      </c>
      <c r="AB2106" s="24">
        <v>0.065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ht="14.25" spans="1:34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1999</v>
      </c>
      <c r="I2107" s="20" t="s">
        <v>2000</v>
      </c>
      <c r="J2107" s="20" t="s">
        <v>2001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2721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3517.56568624647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ht="14.25" spans="1:34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1999</v>
      </c>
      <c r="I2108" s="20" t="s">
        <v>2000</v>
      </c>
      <c r="J2108" s="20" t="s">
        <v>2001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2722</v>
      </c>
      <c r="R2108" s="30"/>
      <c r="S2108" s="34">
        <v>393458.42</v>
      </c>
      <c r="T2108" s="34"/>
      <c r="U2108" s="32">
        <v>10149.62</v>
      </c>
      <c r="V2108" s="32">
        <f t="shared" si="237"/>
        <v>383308.8</v>
      </c>
      <c r="W2108" s="32">
        <f t="shared" si="238"/>
        <v>10149.62</v>
      </c>
      <c r="X2108" s="32"/>
      <c r="Y2108" s="32">
        <f t="shared" si="239"/>
        <v>10149.62</v>
      </c>
      <c r="Z2108" s="32">
        <f t="shared" si="240"/>
        <v>0</v>
      </c>
      <c r="AA2108" s="34">
        <v>6223.82129379376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ht="14.25" spans="1:34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1999</v>
      </c>
      <c r="I2109" s="20" t="s">
        <v>2000</v>
      </c>
      <c r="J2109" s="20" t="s">
        <v>2001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2723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ht="14.25" spans="1:34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1999</v>
      </c>
      <c r="I2110" s="20" t="s">
        <v>2000</v>
      </c>
      <c r="J2110" s="20" t="s">
        <v>2001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2724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22296.1752829023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ht="14.25" spans="1:34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1999</v>
      </c>
      <c r="I2111" s="20" t="s">
        <v>2000</v>
      </c>
      <c r="J2111" s="20" t="s">
        <v>2001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2721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0.065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ht="14.25" spans="1:34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1999</v>
      </c>
      <c r="I2112" s="20" t="s">
        <v>2000</v>
      </c>
      <c r="J2112" s="20" t="s">
        <v>2001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2723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0.065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ht="14.25" spans="1:34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1999</v>
      </c>
      <c r="I2113" s="20" t="s">
        <v>2000</v>
      </c>
      <c r="J2113" s="20" t="s">
        <v>2001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2724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0.065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ht="14.25" spans="1:34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1999</v>
      </c>
      <c r="I2114" s="20" t="s">
        <v>2000</v>
      </c>
      <c r="J2114" s="20" t="s">
        <v>2001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2721</v>
      </c>
      <c r="R2114" s="30"/>
      <c r="S2114" s="34">
        <v>-56558.19</v>
      </c>
      <c r="T2114" s="34"/>
      <c r="U2114" s="32">
        <v>3646.8</v>
      </c>
      <c r="V2114" s="32">
        <f t="shared" si="237"/>
        <v>-60204.99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ht="14.25" spans="1:34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1999</v>
      </c>
      <c r="I2115" s="20" t="s">
        <v>2000</v>
      </c>
      <c r="J2115" s="20" t="s">
        <v>2001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2722</v>
      </c>
      <c r="R2115" s="30"/>
      <c r="S2115" s="34">
        <v>-45227.77</v>
      </c>
      <c r="T2115" s="34"/>
      <c r="U2115" s="32">
        <v>38182.88</v>
      </c>
      <c r="V2115" s="32">
        <f t="shared" si="237"/>
        <v>-83410.65</v>
      </c>
      <c r="W2115" s="32">
        <f t="shared" si="238"/>
        <v>38182.88</v>
      </c>
      <c r="X2115" s="32"/>
      <c r="Y2115" s="32">
        <f t="shared" si="239"/>
        <v>38182.88</v>
      </c>
      <c r="Z2115" s="32">
        <f t="shared" si="240"/>
        <v>0</v>
      </c>
      <c r="AA2115" s="34">
        <v>23414.0215695141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ht="14.25" spans="1:34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1999</v>
      </c>
      <c r="I2116" s="20" t="s">
        <v>2000</v>
      </c>
      <c r="J2116" s="20" t="s">
        <v>2001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2725</v>
      </c>
      <c r="R2116" s="30"/>
      <c r="S2116" s="34">
        <v>60062.75</v>
      </c>
      <c r="T2116" s="34"/>
      <c r="U2116" s="32">
        <v>34844.88</v>
      </c>
      <c r="V2116" s="32">
        <f t="shared" si="237"/>
        <v>25217.87</v>
      </c>
      <c r="W2116" s="32">
        <f t="shared" si="238"/>
        <v>34844.88</v>
      </c>
      <c r="X2116" s="32"/>
      <c r="Y2116" s="32">
        <f t="shared" si="239"/>
        <v>34844.88</v>
      </c>
      <c r="Z2116" s="32">
        <f t="shared" si="240"/>
        <v>0</v>
      </c>
      <c r="AA2116" s="34">
        <v>21367.1355305606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ht="14.25" spans="1:34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1999</v>
      </c>
      <c r="I2117" s="20" t="s">
        <v>2000</v>
      </c>
      <c r="J2117" s="20" t="s">
        <v>2001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2726</v>
      </c>
      <c r="R2117" s="30"/>
      <c r="S2117" s="34">
        <v>40000.04</v>
      </c>
      <c r="T2117" s="34"/>
      <c r="U2117" s="32">
        <v>34645.1</v>
      </c>
      <c r="V2117" s="32">
        <f t="shared" si="237"/>
        <v>5354.94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ht="14.25" spans="1:34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1999</v>
      </c>
      <c r="I2118" s="20" t="s">
        <v>2000</v>
      </c>
      <c r="J2118" s="20" t="s">
        <v>2001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2727</v>
      </c>
      <c r="R2118" s="30"/>
      <c r="S2118" s="34">
        <v>852836.58</v>
      </c>
      <c r="T2118" s="34"/>
      <c r="U2118" s="32">
        <v>451463.2</v>
      </c>
      <c r="V2118" s="32">
        <f t="shared" si="237"/>
        <v>401373.38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276840.539598948</v>
      </c>
      <c r="AB2118" s="24">
        <v>0.065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ht="14.25" spans="1:34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2583</v>
      </c>
      <c r="F2119" s="20" t="s">
        <v>2583</v>
      </c>
      <c r="G2119" s="20" t="s">
        <v>2583</v>
      </c>
      <c r="H2119" s="20" t="s">
        <v>1999</v>
      </c>
      <c r="I2119" s="20" t="s">
        <v>2000</v>
      </c>
      <c r="J2119" s="20" t="s">
        <v>2001</v>
      </c>
      <c r="K2119" s="20" t="str">
        <f>VLOOKUP(H2119,[1]媒体表!C:T,18,0)</f>
        <v>北京多彩</v>
      </c>
      <c r="L2119" s="20" t="s">
        <v>2583</v>
      </c>
      <c r="M2119" s="20"/>
      <c r="N2119" s="20" t="s">
        <v>42</v>
      </c>
      <c r="O2119" s="20" t="s">
        <v>43</v>
      </c>
      <c r="P2119" s="47">
        <v>0.02</v>
      </c>
      <c r="Q2119" s="48" t="s">
        <v>2585</v>
      </c>
      <c r="R2119" s="30"/>
      <c r="S2119" s="34">
        <v>7125.32000000001</v>
      </c>
      <c r="T2119" s="34"/>
      <c r="U2119" s="50">
        <v>7125.32000000001</v>
      </c>
      <c r="V2119" s="32">
        <f t="shared" si="237"/>
        <v>0</v>
      </c>
      <c r="W2119" s="32">
        <f t="shared" si="238"/>
        <v>6985.60784313726</v>
      </c>
      <c r="X2119" s="32"/>
      <c r="Y2119" s="32">
        <f t="shared" si="239"/>
        <v>6985.60784313726</v>
      </c>
      <c r="Z2119" s="32">
        <f t="shared" si="240"/>
        <v>139.712156862745</v>
      </c>
      <c r="AA2119" s="34">
        <v>0</v>
      </c>
      <c r="AB2119" s="24">
        <v>0.065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ht="14.25" spans="1:34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1999</v>
      </c>
      <c r="I2120" s="20" t="s">
        <v>2000</v>
      </c>
      <c r="J2120" s="20" t="s">
        <v>2001</v>
      </c>
      <c r="K2120" s="20" t="str">
        <f>VLOOKUP(H2120,[1]媒体表!C:T,18,0)</f>
        <v>北京多彩</v>
      </c>
      <c r="L2120" s="20" t="s">
        <v>2728</v>
      </c>
      <c r="M2120" s="20"/>
      <c r="N2120" s="20" t="s">
        <v>59</v>
      </c>
      <c r="O2120" s="20" t="s">
        <v>82</v>
      </c>
      <c r="P2120" s="47">
        <v>0</v>
      </c>
      <c r="Q2120" s="48" t="s">
        <v>2729</v>
      </c>
      <c r="R2120" s="30"/>
      <c r="S2120" s="34">
        <v>-0.0200000000040745</v>
      </c>
      <c r="T2120" s="34"/>
      <c r="U2120" s="32">
        <v>0</v>
      </c>
      <c r="V2120" s="32">
        <f t="shared" si="237"/>
        <v>-0.0200000000040745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ht="14.25" spans="1:34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1999</v>
      </c>
      <c r="I2121" s="20" t="s">
        <v>2000</v>
      </c>
      <c r="J2121" s="20" t="s">
        <v>2001</v>
      </c>
      <c r="K2121" s="20" t="str">
        <f>VLOOKUP(H2121,[1]媒体表!C:T,18,0)</f>
        <v>北京多彩</v>
      </c>
      <c r="L2121" s="20" t="s">
        <v>2730</v>
      </c>
      <c r="M2121" s="20"/>
      <c r="N2121" s="20" t="s">
        <v>59</v>
      </c>
      <c r="O2121" s="20" t="s">
        <v>82</v>
      </c>
      <c r="P2121" s="47">
        <v>0</v>
      </c>
      <c r="Q2121" s="48" t="s">
        <v>2731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ht="14.25" spans="1:34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2732</v>
      </c>
      <c r="F2122" s="20" t="s">
        <v>2732</v>
      </c>
      <c r="G2122" s="20" t="s">
        <v>2732</v>
      </c>
      <c r="H2122" s="20" t="s">
        <v>1999</v>
      </c>
      <c r="I2122" s="20" t="s">
        <v>2000</v>
      </c>
      <c r="J2122" s="20" t="s">
        <v>2001</v>
      </c>
      <c r="K2122" s="20" t="str">
        <f>VLOOKUP(H2122,[1]媒体表!C:T,18,0)</f>
        <v>北京多彩</v>
      </c>
      <c r="L2122" s="20" t="s">
        <v>2733</v>
      </c>
      <c r="M2122" s="20"/>
      <c r="N2122" s="20" t="s">
        <v>42</v>
      </c>
      <c r="O2122" s="20" t="s">
        <v>43</v>
      </c>
      <c r="P2122" s="47">
        <v>0.03</v>
      </c>
      <c r="Q2122" s="48" t="s">
        <v>2734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0.065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ht="14.25" spans="1:34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2732</v>
      </c>
      <c r="F2123" s="20" t="s">
        <v>2732</v>
      </c>
      <c r="G2123" s="20" t="s">
        <v>2732</v>
      </c>
      <c r="H2123" s="20" t="s">
        <v>1999</v>
      </c>
      <c r="I2123" s="20" t="s">
        <v>2000</v>
      </c>
      <c r="J2123" s="20" t="s">
        <v>2001</v>
      </c>
      <c r="K2123" s="20" t="str">
        <f>VLOOKUP(H2123,[1]媒体表!C:T,18,0)</f>
        <v>北京多彩</v>
      </c>
      <c r="L2123" s="20" t="s">
        <v>2735</v>
      </c>
      <c r="M2123" s="20"/>
      <c r="N2123" s="20" t="s">
        <v>42</v>
      </c>
      <c r="O2123" s="20" t="s">
        <v>43</v>
      </c>
      <c r="P2123" s="47">
        <v>0.03</v>
      </c>
      <c r="Q2123" s="48" t="s">
        <v>2736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0.065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ht="14.25" spans="1:34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2732</v>
      </c>
      <c r="F2124" s="20" t="s">
        <v>2732</v>
      </c>
      <c r="G2124" s="20" t="s">
        <v>2732</v>
      </c>
      <c r="H2124" s="20" t="s">
        <v>1999</v>
      </c>
      <c r="I2124" s="20" t="s">
        <v>2000</v>
      </c>
      <c r="J2124" s="20" t="s">
        <v>2001</v>
      </c>
      <c r="K2124" s="20" t="str">
        <f>VLOOKUP(H2124,[1]媒体表!C:T,18,0)</f>
        <v>北京多彩</v>
      </c>
      <c r="L2124" s="20" t="s">
        <v>2737</v>
      </c>
      <c r="M2124" s="20"/>
      <c r="N2124" s="20" t="s">
        <v>42</v>
      </c>
      <c r="O2124" s="20" t="s">
        <v>43</v>
      </c>
      <c r="P2124" s="47">
        <v>0.03</v>
      </c>
      <c r="Q2124" s="48" t="s">
        <v>2738</v>
      </c>
      <c r="R2124" s="30"/>
      <c r="S2124" s="34">
        <v>8429.03</v>
      </c>
      <c r="T2124" s="34"/>
      <c r="U2124" s="32">
        <v>0</v>
      </c>
      <c r="V2124" s="32">
        <f t="shared" si="241"/>
        <v>8429.03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0.065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ht="14.25" spans="1:34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1999</v>
      </c>
      <c r="I2125" s="20" t="s">
        <v>2000</v>
      </c>
      <c r="J2125" s="20" t="s">
        <v>2001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2739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61962.8828506128</v>
      </c>
      <c r="AB2125" s="24">
        <v>0.065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ht="14.25" spans="1:34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1999</v>
      </c>
      <c r="I2126" s="20" t="s">
        <v>2000</v>
      </c>
      <c r="J2126" s="20" t="s">
        <v>2001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0.07</v>
      </c>
      <c r="Q2126" s="48" t="s">
        <v>2740</v>
      </c>
      <c r="R2126" s="30"/>
      <c r="S2126" s="34">
        <v>96.7799999999988</v>
      </c>
      <c r="T2126" s="34"/>
      <c r="U2126" s="32">
        <v>0</v>
      </c>
      <c r="V2126" s="32">
        <f t="shared" si="241"/>
        <v>96.7799999999988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ht="14.25" spans="1:34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2741</v>
      </c>
      <c r="F2127" s="20" t="s">
        <v>2741</v>
      </c>
      <c r="G2127" s="20" t="s">
        <v>2741</v>
      </c>
      <c r="H2127" s="20" t="s">
        <v>1999</v>
      </c>
      <c r="I2127" s="20" t="s">
        <v>2000</v>
      </c>
      <c r="J2127" s="20" t="s">
        <v>2001</v>
      </c>
      <c r="K2127" s="20" t="str">
        <f>VLOOKUP(H2127,[1]媒体表!C:T,18,0)</f>
        <v>北京多彩</v>
      </c>
      <c r="L2127" s="20" t="s">
        <v>2741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0.065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ht="14.25" spans="1:34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1851</v>
      </c>
      <c r="F2128" s="20" t="s">
        <v>2742</v>
      </c>
      <c r="G2128" s="20" t="s">
        <v>1851</v>
      </c>
      <c r="H2128" s="20" t="s">
        <v>1999</v>
      </c>
      <c r="I2128" s="20" t="s">
        <v>2000</v>
      </c>
      <c r="J2128" s="20" t="s">
        <v>2001</v>
      </c>
      <c r="K2128" s="20" t="str">
        <f>VLOOKUP(H2128,[1]媒体表!C:T,18,0)</f>
        <v>北京多彩</v>
      </c>
      <c r="L2128" s="20" t="s">
        <v>1851</v>
      </c>
      <c r="M2128" s="20"/>
      <c r="N2128" s="20" t="s">
        <v>42</v>
      </c>
      <c r="O2128" s="20" t="s">
        <v>43</v>
      </c>
      <c r="P2128" s="47">
        <v>0.02</v>
      </c>
      <c r="Q2128" s="48" t="s">
        <v>2743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0.065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ht="14.25" spans="1:34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2744</v>
      </c>
      <c r="G2129" s="20" t="s">
        <v>1366</v>
      </c>
      <c r="H2129" s="20" t="s">
        <v>1999</v>
      </c>
      <c r="I2129" s="20" t="s">
        <v>2000</v>
      </c>
      <c r="J2129" s="20" t="s">
        <v>2001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2745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0.065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ht="14.25" spans="1:34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2746</v>
      </c>
      <c r="F2130" s="20" t="s">
        <v>2746</v>
      </c>
      <c r="G2130" s="20" t="s">
        <v>2746</v>
      </c>
      <c r="H2130" s="20" t="s">
        <v>1999</v>
      </c>
      <c r="I2130" s="20" t="s">
        <v>2000</v>
      </c>
      <c r="J2130" s="20" t="s">
        <v>2001</v>
      </c>
      <c r="K2130" s="20" t="str">
        <f>VLOOKUP(H2130,[1]媒体表!C:T,18,0)</f>
        <v>北京多彩</v>
      </c>
      <c r="L2130" s="20" t="s">
        <v>2746</v>
      </c>
      <c r="M2130" s="20"/>
      <c r="N2130" s="20" t="s">
        <v>42</v>
      </c>
      <c r="O2130" s="20" t="s">
        <v>43</v>
      </c>
      <c r="P2130" s="47">
        <v>0.03</v>
      </c>
      <c r="Q2130" s="48" t="s">
        <v>2747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0.065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ht="14.25" spans="1:34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2748</v>
      </c>
      <c r="F2131" s="20" t="s">
        <v>2748</v>
      </c>
      <c r="G2131" s="20" t="s">
        <v>2748</v>
      </c>
      <c r="H2131" s="20" t="s">
        <v>1999</v>
      </c>
      <c r="I2131" s="20" t="s">
        <v>2000</v>
      </c>
      <c r="J2131" s="20" t="s">
        <v>2001</v>
      </c>
      <c r="K2131" s="20" t="str">
        <f>VLOOKUP(H2131,[1]媒体表!C:T,18,0)</f>
        <v>北京多彩</v>
      </c>
      <c r="L2131" s="20" t="s">
        <v>2748</v>
      </c>
      <c r="M2131" s="20"/>
      <c r="N2131" s="20" t="s">
        <v>42</v>
      </c>
      <c r="O2131" s="20" t="s">
        <v>43</v>
      </c>
      <c r="P2131" s="47">
        <v>0.03</v>
      </c>
      <c r="Q2131" s="48" t="s">
        <v>2749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</v>
      </c>
      <c r="X2131" s="32"/>
      <c r="Y2131" s="32">
        <f t="shared" si="239"/>
        <v>3762.81553398058</v>
      </c>
      <c r="Z2131" s="32">
        <f t="shared" si="240"/>
        <v>112.884466019418</v>
      </c>
      <c r="AA2131" s="34">
        <v>0</v>
      </c>
      <c r="AB2131" s="24">
        <v>0.065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ht="14.25" spans="1:34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2748</v>
      </c>
      <c r="F2132" s="20" t="s">
        <v>2748</v>
      </c>
      <c r="G2132" s="20" t="s">
        <v>2748</v>
      </c>
      <c r="H2132" s="20" t="s">
        <v>1999</v>
      </c>
      <c r="I2132" s="20" t="s">
        <v>2000</v>
      </c>
      <c r="J2132" s="20" t="s">
        <v>2001</v>
      </c>
      <c r="K2132" s="20" t="str">
        <f>VLOOKUP(H2132,[1]媒体表!C:T,18,0)</f>
        <v>北京多彩</v>
      </c>
      <c r="L2132" s="20" t="s">
        <v>2748</v>
      </c>
      <c r="M2132" s="20"/>
      <c r="N2132" s="20" t="s">
        <v>42</v>
      </c>
      <c r="O2132" s="20" t="s">
        <v>82</v>
      </c>
      <c r="P2132" s="47">
        <v>0</v>
      </c>
      <c r="Q2132" s="48" t="s">
        <v>2749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11240.7647299764</v>
      </c>
      <c r="AB2132" s="24">
        <v>0.065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ht="14.25" spans="1:34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1999</v>
      </c>
      <c r="I2133" s="20" t="s">
        <v>2000</v>
      </c>
      <c r="J2133" s="20" t="s">
        <v>2001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2750</v>
      </c>
      <c r="R2133" s="30"/>
      <c r="S2133" s="34">
        <v>31601.2</v>
      </c>
      <c r="T2133" s="34"/>
      <c r="U2133" s="32">
        <v>0</v>
      </c>
      <c r="V2133" s="32">
        <f t="shared" si="241"/>
        <v>31601.2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0.065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ht="14.25" spans="1:34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1999</v>
      </c>
      <c r="I2134" s="20" t="s">
        <v>2000</v>
      </c>
      <c r="J2134" s="20" t="s">
        <v>2001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2751</v>
      </c>
      <c r="R2134" s="30"/>
      <c r="S2134" s="34">
        <v>302.099999999991</v>
      </c>
      <c r="T2134" s="34"/>
      <c r="U2134" s="32">
        <v>0</v>
      </c>
      <c r="V2134" s="32">
        <f t="shared" si="241"/>
        <v>302.099999999991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0.065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ht="14.25" spans="1:34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1999</v>
      </c>
      <c r="I2135" s="20" t="s">
        <v>2000</v>
      </c>
      <c r="J2135" s="20" t="s">
        <v>2001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2752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5.3921568627451</v>
      </c>
      <c r="X2135" s="32"/>
      <c r="Y2135" s="32">
        <f t="shared" si="239"/>
        <v>5.3921568627451</v>
      </c>
      <c r="Z2135" s="32">
        <f t="shared" si="240"/>
        <v>0.107843137254902</v>
      </c>
      <c r="AA2135" s="34">
        <v>0</v>
      </c>
      <c r="AB2135" s="24">
        <v>0.065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ht="14.25" spans="1:34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1999</v>
      </c>
      <c r="I2136" s="20" t="s">
        <v>2000</v>
      </c>
      <c r="J2136" s="20" t="s">
        <v>2001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2752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3.37264026789827</v>
      </c>
      <c r="AB2136" s="24">
        <v>0.065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ht="14.25" spans="1:34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2753</v>
      </c>
      <c r="F2137" s="20" t="s">
        <v>2754</v>
      </c>
      <c r="G2137" s="20" t="s">
        <v>2753</v>
      </c>
      <c r="H2137" s="20" t="s">
        <v>1999</v>
      </c>
      <c r="I2137" s="20" t="s">
        <v>2000</v>
      </c>
      <c r="J2137" s="20" t="s">
        <v>2001</v>
      </c>
      <c r="K2137" s="20" t="str">
        <f>VLOOKUP(H2137,[1]媒体表!C:T,18,0)</f>
        <v>北京多彩</v>
      </c>
      <c r="L2137" s="20" t="s">
        <v>2753</v>
      </c>
      <c r="M2137" s="47"/>
      <c r="N2137" s="20" t="s">
        <v>42</v>
      </c>
      <c r="O2137" s="20" t="s">
        <v>43</v>
      </c>
      <c r="P2137" s="47">
        <v>0.02</v>
      </c>
      <c r="Q2137" s="48" t="s">
        <v>2755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10346.568627451</v>
      </c>
      <c r="X2137" s="32"/>
      <c r="Y2137" s="32">
        <f t="shared" si="239"/>
        <v>10346.568627451</v>
      </c>
      <c r="Z2137" s="32">
        <f t="shared" si="240"/>
        <v>206.931372549019</v>
      </c>
      <c r="AA2137" s="34">
        <v>0</v>
      </c>
      <c r="AB2137" s="24">
        <v>0.065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ht="14.25" spans="1:34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2753</v>
      </c>
      <c r="F2138" s="20" t="s">
        <v>2754</v>
      </c>
      <c r="G2138" s="20" t="s">
        <v>2753</v>
      </c>
      <c r="H2138" s="20" t="s">
        <v>1999</v>
      </c>
      <c r="I2138" s="20" t="s">
        <v>2000</v>
      </c>
      <c r="J2138" s="20" t="s">
        <v>2001</v>
      </c>
      <c r="K2138" s="20" t="str">
        <f>VLOOKUP(H2138,[1]媒体表!C:T,18,0)</f>
        <v>北京多彩</v>
      </c>
      <c r="L2138" s="20" t="s">
        <v>2753</v>
      </c>
      <c r="M2138" s="47"/>
      <c r="N2138" s="20" t="s">
        <v>42</v>
      </c>
      <c r="O2138" s="20" t="s">
        <v>82</v>
      </c>
      <c r="P2138" s="47">
        <v>0</v>
      </c>
      <c r="Q2138" s="48" t="s">
        <v>2755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</v>
      </c>
      <c r="AB2138" s="24">
        <v>0.065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ht="14.25" spans="1:34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2756</v>
      </c>
      <c r="F2139" s="20" t="s">
        <v>2756</v>
      </c>
      <c r="G2139" s="20" t="s">
        <v>2756</v>
      </c>
      <c r="H2139" s="20" t="s">
        <v>1999</v>
      </c>
      <c r="I2139" s="20" t="s">
        <v>2000</v>
      </c>
      <c r="J2139" s="20" t="s">
        <v>2001</v>
      </c>
      <c r="K2139" s="20" t="str">
        <f>VLOOKUP(H2139,[1]媒体表!C:T,18,0)</f>
        <v>北京多彩</v>
      </c>
      <c r="L2139" s="20" t="s">
        <v>2757</v>
      </c>
      <c r="M2139" s="47"/>
      <c r="N2139" s="20" t="s">
        <v>42</v>
      </c>
      <c r="O2139" s="20" t="s">
        <v>82</v>
      </c>
      <c r="P2139" s="47">
        <v>0</v>
      </c>
      <c r="Q2139" s="48" t="s">
        <v>2758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0.065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ht="14.25" spans="1:34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1999</v>
      </c>
      <c r="I2140" s="20" t="s">
        <v>2000</v>
      </c>
      <c r="J2140" s="20" t="s">
        <v>2001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2759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0.00999999999976353</v>
      </c>
      <c r="W2140" s="32">
        <f t="shared" si="242"/>
        <v>1392.69230769231</v>
      </c>
      <c r="X2140" s="32"/>
      <c r="Y2140" s="32">
        <f t="shared" si="239"/>
        <v>1392.69230769231</v>
      </c>
      <c r="Z2140" s="32">
        <f t="shared" si="240"/>
        <v>55.7076923076925</v>
      </c>
      <c r="AA2140" s="34">
        <v>888.169484367975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ht="14.25" spans="1:34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1999</v>
      </c>
      <c r="I2141" s="20" t="s">
        <v>2000</v>
      </c>
      <c r="J2141" s="20" t="s">
        <v>2001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</v>
      </c>
      <c r="X2141" s="32"/>
      <c r="Y2141" s="32">
        <f t="shared" si="239"/>
        <v>997.549019607843</v>
      </c>
      <c r="Z2141" s="32">
        <f t="shared" si="240"/>
        <v>19.9509803921569</v>
      </c>
      <c r="AA2141" s="34">
        <v>623.938449561181</v>
      </c>
      <c r="AB2141" s="24">
        <v>0.065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ht="14.25" spans="1:34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2760</v>
      </c>
      <c r="F2142" s="20" t="s">
        <v>2761</v>
      </c>
      <c r="G2142" s="20" t="s">
        <v>2760</v>
      </c>
      <c r="H2142" s="20" t="s">
        <v>1999</v>
      </c>
      <c r="I2142" s="20" t="s">
        <v>2000</v>
      </c>
      <c r="J2142" s="20" t="s">
        <v>2001</v>
      </c>
      <c r="K2142" s="20" t="str">
        <f>VLOOKUP(H2142,[1]媒体表!C:T,18,0)</f>
        <v>北京多彩</v>
      </c>
      <c r="L2142" s="20" t="s">
        <v>2762</v>
      </c>
      <c r="M2142" s="47"/>
      <c r="N2142" s="20" t="s">
        <v>42</v>
      </c>
      <c r="O2142" s="20" t="s">
        <v>43</v>
      </c>
      <c r="P2142" s="47">
        <v>0.02</v>
      </c>
      <c r="Q2142" s="48" t="s">
        <v>2763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0.065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ht="14.25" spans="1:34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2764</v>
      </c>
      <c r="F2143" s="20" t="s">
        <v>2764</v>
      </c>
      <c r="G2143" s="20" t="s">
        <v>2764</v>
      </c>
      <c r="H2143" s="20" t="s">
        <v>1999</v>
      </c>
      <c r="I2143" s="20" t="s">
        <v>2000</v>
      </c>
      <c r="J2143" s="20" t="s">
        <v>2001</v>
      </c>
      <c r="K2143" s="20" t="str">
        <f>VLOOKUP(H2143,[1]媒体表!C:T,18,0)</f>
        <v>北京多彩</v>
      </c>
      <c r="L2143" s="20" t="s">
        <v>2764</v>
      </c>
      <c r="M2143" s="47"/>
      <c r="N2143" s="20" t="s">
        <v>59</v>
      </c>
      <c r="O2143" s="20" t="s">
        <v>43</v>
      </c>
      <c r="P2143" s="47">
        <v>0.03</v>
      </c>
      <c r="Q2143" s="48" t="s">
        <v>2765</v>
      </c>
      <c r="R2143" s="40"/>
      <c r="S2143" s="34">
        <v>0.0599999999994907</v>
      </c>
      <c r="T2143" s="34"/>
      <c r="U2143" s="32">
        <v>0</v>
      </c>
      <c r="V2143" s="32">
        <f t="shared" si="241"/>
        <v>0.0599999999994907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ht="14.25" spans="1:34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2764</v>
      </c>
      <c r="F2144" s="20" t="s">
        <v>2764</v>
      </c>
      <c r="G2144" s="20" t="s">
        <v>2764</v>
      </c>
      <c r="H2144" s="20" t="s">
        <v>1999</v>
      </c>
      <c r="I2144" s="20" t="s">
        <v>2000</v>
      </c>
      <c r="J2144" s="20" t="s">
        <v>2001</v>
      </c>
      <c r="K2144" s="20" t="str">
        <f>VLOOKUP(H2144,[1]媒体表!C:T,18,0)</f>
        <v>北京多彩</v>
      </c>
      <c r="L2144" s="20" t="s">
        <v>2764</v>
      </c>
      <c r="M2144" s="47"/>
      <c r="N2144" s="20" t="s">
        <v>42</v>
      </c>
      <c r="O2144" s="20" t="s">
        <v>43</v>
      </c>
      <c r="P2144" s="47">
        <v>0.01</v>
      </c>
      <c r="Q2144" s="48" t="s">
        <v>2766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</v>
      </c>
      <c r="X2144" s="32"/>
      <c r="Y2144" s="32">
        <f t="shared" si="239"/>
        <v>3546.39603960396</v>
      </c>
      <c r="Z2144" s="32">
        <f t="shared" si="240"/>
        <v>35.4639603960395</v>
      </c>
      <c r="AA2144" s="34">
        <v>0</v>
      </c>
      <c r="AB2144" s="24">
        <v>0.065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ht="14.25" spans="1:34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2764</v>
      </c>
      <c r="F2145" s="20" t="s">
        <v>2764</v>
      </c>
      <c r="G2145" s="20" t="s">
        <v>2764</v>
      </c>
      <c r="H2145" s="20" t="s">
        <v>1999</v>
      </c>
      <c r="I2145" s="20" t="s">
        <v>2000</v>
      </c>
      <c r="J2145" s="20" t="s">
        <v>2001</v>
      </c>
      <c r="K2145" s="20" t="str">
        <f>VLOOKUP(H2145,[1]媒体表!C:T,18,0)</f>
        <v>北京多彩</v>
      </c>
      <c r="L2145" s="20" t="s">
        <v>2764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3581.96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</v>
      </c>
      <c r="AB2145" s="24">
        <v>0.065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ht="14.25" spans="1:34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2767</v>
      </c>
      <c r="F2146" s="20" t="s">
        <v>2767</v>
      </c>
      <c r="G2146" s="20" t="s">
        <v>2767</v>
      </c>
      <c r="H2146" s="20" t="s">
        <v>1999</v>
      </c>
      <c r="I2146" s="20" t="s">
        <v>2000</v>
      </c>
      <c r="J2146" s="20" t="s">
        <v>2001</v>
      </c>
      <c r="K2146" s="20" t="str">
        <f>VLOOKUP(H2146,[1]媒体表!C:T,18,0)</f>
        <v>北京多彩</v>
      </c>
      <c r="L2146" s="20" t="s">
        <v>2767</v>
      </c>
      <c r="M2146" s="47"/>
      <c r="N2146" s="20" t="s">
        <v>42</v>
      </c>
      <c r="O2146" s="20" t="s">
        <v>82</v>
      </c>
      <c r="P2146" s="47">
        <v>0</v>
      </c>
      <c r="Q2146" s="48" t="s">
        <v>2768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</v>
      </c>
      <c r="AB2146" s="24">
        <v>0.065</v>
      </c>
      <c r="AC2146" s="36"/>
      <c r="AD2146" s="36"/>
      <c r="AE2146" s="34" t="s">
        <v>2709</v>
      </c>
      <c r="AF2146" s="34" t="s">
        <v>53</v>
      </c>
      <c r="AG2146" s="24">
        <v>0</v>
      </c>
      <c r="AH2146" s="38" t="e">
        <v>#N/A</v>
      </c>
    </row>
    <row r="2147" ht="14.25" spans="1:34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2769</v>
      </c>
      <c r="F2147" s="20" t="s">
        <v>2769</v>
      </c>
      <c r="G2147" s="20" t="s">
        <v>2769</v>
      </c>
      <c r="H2147" s="20" t="s">
        <v>1999</v>
      </c>
      <c r="I2147" s="20" t="s">
        <v>2000</v>
      </c>
      <c r="J2147" s="20" t="s">
        <v>2001</v>
      </c>
      <c r="K2147" s="20" t="str">
        <f>VLOOKUP(H2147,[1]媒体表!C:T,18,0)</f>
        <v>北京多彩</v>
      </c>
      <c r="L2147" s="20" t="s">
        <v>2769</v>
      </c>
      <c r="M2147" s="47"/>
      <c r="N2147" s="20" t="s">
        <v>42</v>
      </c>
      <c r="O2147" s="20" t="s">
        <v>43</v>
      </c>
      <c r="P2147" s="47">
        <v>0.02</v>
      </c>
      <c r="Q2147" s="48" t="s">
        <v>2770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3117.1568627451</v>
      </c>
      <c r="X2147" s="32"/>
      <c r="Y2147" s="32">
        <f t="shared" si="239"/>
        <v>3117.1568627451</v>
      </c>
      <c r="Z2147" s="32">
        <f t="shared" si="240"/>
        <v>62.3431372549021</v>
      </c>
      <c r="AA2147" s="34">
        <v>1949.69267850592</v>
      </c>
      <c r="AB2147" s="24">
        <v>0.065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ht="14.25" spans="1:34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2771</v>
      </c>
      <c r="F2148" s="20" t="s">
        <v>2771</v>
      </c>
      <c r="G2148" s="20" t="s">
        <v>2771</v>
      </c>
      <c r="H2148" s="20" t="s">
        <v>1999</v>
      </c>
      <c r="I2148" s="20" t="s">
        <v>2000</v>
      </c>
      <c r="J2148" s="20" t="s">
        <v>2001</v>
      </c>
      <c r="K2148" s="20" t="str">
        <f>VLOOKUP(H2148,[1]媒体表!C:T,18,0)</f>
        <v>北京多彩</v>
      </c>
      <c r="L2148" s="20" t="s">
        <v>2772</v>
      </c>
      <c r="M2148" s="47"/>
      <c r="N2148" s="20" t="s">
        <v>42</v>
      </c>
      <c r="O2148" s="20" t="s">
        <v>43</v>
      </c>
      <c r="P2148" s="47">
        <v>0.02</v>
      </c>
      <c r="Q2148" s="48" t="s">
        <v>2773</v>
      </c>
      <c r="R2148" s="40"/>
      <c r="S2148" s="34">
        <v>1.85999999999001</v>
      </c>
      <c r="T2148" s="34"/>
      <c r="U2148" s="32">
        <v>0</v>
      </c>
      <c r="V2148" s="32">
        <f t="shared" si="241"/>
        <v>1.85999999999001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0.065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ht="14.25" spans="1:34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2771</v>
      </c>
      <c r="F2149" s="20" t="s">
        <v>2771</v>
      </c>
      <c r="G2149" s="20" t="s">
        <v>2771</v>
      </c>
      <c r="H2149" s="20" t="s">
        <v>1999</v>
      </c>
      <c r="I2149" s="20" t="s">
        <v>2000</v>
      </c>
      <c r="J2149" s="20" t="s">
        <v>2001</v>
      </c>
      <c r="K2149" s="20" t="str">
        <f>VLOOKUP(H2149,[1]媒体表!C:T,18,0)</f>
        <v>北京多彩</v>
      </c>
      <c r="L2149" s="20" t="s">
        <v>2774</v>
      </c>
      <c r="M2149" s="47"/>
      <c r="N2149" s="20" t="s">
        <v>42</v>
      </c>
      <c r="O2149" s="20" t="s">
        <v>43</v>
      </c>
      <c r="P2149" s="47">
        <v>0.02</v>
      </c>
      <c r="Q2149" s="48" t="s">
        <v>2775</v>
      </c>
      <c r="R2149" s="40"/>
      <c r="S2149" s="34">
        <v>9722.10000000001</v>
      </c>
      <c r="T2149" s="34"/>
      <c r="U2149" s="32">
        <v>9442</v>
      </c>
      <c r="V2149" s="32">
        <f t="shared" si="241"/>
        <v>280.100000000009</v>
      </c>
      <c r="W2149" s="32">
        <f t="shared" si="242"/>
        <v>9256.86274509804</v>
      </c>
      <c r="X2149" s="32"/>
      <c r="Y2149" s="32">
        <f t="shared" si="239"/>
        <v>9256.86274509804</v>
      </c>
      <c r="Z2149" s="32">
        <f t="shared" si="240"/>
        <v>185.137254901962</v>
      </c>
      <c r="AA2149" s="34">
        <v>5789.90352899918</v>
      </c>
      <c r="AB2149" s="24">
        <v>0.065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ht="14.25" spans="1:34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2776</v>
      </c>
      <c r="F2150" s="20" t="s">
        <v>2776</v>
      </c>
      <c r="G2150" s="20" t="s">
        <v>2776</v>
      </c>
      <c r="H2150" s="20" t="s">
        <v>1999</v>
      </c>
      <c r="I2150" s="20" t="s">
        <v>2000</v>
      </c>
      <c r="J2150" s="20" t="s">
        <v>2001</v>
      </c>
      <c r="K2150" s="20" t="str">
        <f>VLOOKUP(H2150,[1]媒体表!C:T,18,0)</f>
        <v>北京多彩</v>
      </c>
      <c r="L2150" s="20" t="s">
        <v>2777</v>
      </c>
      <c r="M2150" s="47"/>
      <c r="N2150" s="20" t="s">
        <v>42</v>
      </c>
      <c r="O2150" s="20" t="s">
        <v>43</v>
      </c>
      <c r="P2150" s="47">
        <v>0.02</v>
      </c>
      <c r="Q2150" s="48" t="s">
        <v>2778</v>
      </c>
      <c r="R2150" s="40"/>
      <c r="S2150" s="34">
        <v>10167.8</v>
      </c>
      <c r="T2150" s="34"/>
      <c r="U2150" s="34">
        <v>10167.8</v>
      </c>
      <c r="V2150" s="32">
        <f t="shared" si="241"/>
        <v>0</v>
      </c>
      <c r="W2150" s="32">
        <f t="shared" si="242"/>
        <v>9968.43137254902</v>
      </c>
      <c r="X2150" s="32"/>
      <c r="Y2150" s="32">
        <f t="shared" si="239"/>
        <v>9968.43137254902</v>
      </c>
      <c r="Z2150" s="32">
        <f t="shared" si="240"/>
        <v>199.36862745098</v>
      </c>
      <c r="AA2150" s="34">
        <v>0</v>
      </c>
      <c r="AB2150" s="24">
        <v>0.065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ht="14.25" spans="1:34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2776</v>
      </c>
      <c r="F2151" s="20" t="s">
        <v>2776</v>
      </c>
      <c r="G2151" s="20" t="s">
        <v>2776</v>
      </c>
      <c r="H2151" s="20" t="s">
        <v>1999</v>
      </c>
      <c r="I2151" s="20" t="s">
        <v>2000</v>
      </c>
      <c r="J2151" s="20" t="s">
        <v>2001</v>
      </c>
      <c r="K2151" s="20" t="str">
        <f>VLOOKUP(H2151,[1]媒体表!C:T,18,0)</f>
        <v>北京多彩</v>
      </c>
      <c r="L2151" s="20" t="s">
        <v>2777</v>
      </c>
      <c r="M2151" s="47"/>
      <c r="N2151" s="20" t="s">
        <v>42</v>
      </c>
      <c r="O2151" s="20" t="s">
        <v>82</v>
      </c>
      <c r="P2151" s="47">
        <v>0</v>
      </c>
      <c r="Q2151" s="48" t="s">
        <v>2778</v>
      </c>
      <c r="R2151" s="40"/>
      <c r="S2151" s="34">
        <v>0</v>
      </c>
      <c r="T2151" s="34">
        <v>206500</v>
      </c>
      <c r="U2151" s="32">
        <v>156145.8</v>
      </c>
      <c r="V2151" s="32">
        <f t="shared" si="241"/>
        <v>50354.2</v>
      </c>
      <c r="W2151" s="32">
        <f t="shared" si="242"/>
        <v>156145.8</v>
      </c>
      <c r="X2151" s="32"/>
      <c r="Y2151" s="32">
        <f t="shared" si="239"/>
        <v>156145.8</v>
      </c>
      <c r="Z2151" s="32">
        <f t="shared" si="240"/>
        <v>0</v>
      </c>
      <c r="AA2151" s="34">
        <v>101984.717174387</v>
      </c>
      <c r="AB2151" s="24">
        <v>0.065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ht="14.25" spans="1:34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2776</v>
      </c>
      <c r="F2152" s="20" t="s">
        <v>2776</v>
      </c>
      <c r="G2152" s="20" t="s">
        <v>2776</v>
      </c>
      <c r="H2152" s="20" t="s">
        <v>1999</v>
      </c>
      <c r="I2152" s="20" t="s">
        <v>2000</v>
      </c>
      <c r="J2152" s="20" t="s">
        <v>2001</v>
      </c>
      <c r="K2152" s="20" t="str">
        <f>VLOOKUP(H2152,[1]媒体表!C:T,18,0)</f>
        <v>北京多彩</v>
      </c>
      <c r="L2152" s="20" t="s">
        <v>2779</v>
      </c>
      <c r="M2152" s="47"/>
      <c r="N2152" s="20" t="s">
        <v>42</v>
      </c>
      <c r="O2152" s="20" t="s">
        <v>43</v>
      </c>
      <c r="P2152" s="47">
        <v>0.02</v>
      </c>
      <c r="Q2152" s="48" t="s">
        <v>2780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</v>
      </c>
      <c r="X2152" s="32"/>
      <c r="Y2152" s="32">
        <f t="shared" si="239"/>
        <v>17539.9019607843</v>
      </c>
      <c r="Z2152" s="32">
        <f t="shared" si="240"/>
        <v>350.798039215686</v>
      </c>
      <c r="AA2152" s="34">
        <v>0</v>
      </c>
      <c r="AB2152" s="24">
        <v>0.065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ht="14.25" spans="1:34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2776</v>
      </c>
      <c r="F2153" s="20" t="s">
        <v>2776</v>
      </c>
      <c r="G2153" s="20" t="s">
        <v>2776</v>
      </c>
      <c r="H2153" s="20" t="s">
        <v>1999</v>
      </c>
      <c r="I2153" s="20" t="s">
        <v>2000</v>
      </c>
      <c r="J2153" s="20" t="s">
        <v>2001</v>
      </c>
      <c r="K2153" s="20" t="str">
        <f>VLOOKUP(H2153,[1]媒体表!C:T,18,0)</f>
        <v>北京多彩</v>
      </c>
      <c r="L2153" s="20" t="s">
        <v>2779</v>
      </c>
      <c r="M2153" s="47"/>
      <c r="N2153" s="20" t="s">
        <v>42</v>
      </c>
      <c r="O2153" s="20" t="s">
        <v>82</v>
      </c>
      <c r="P2153" s="47">
        <v>0</v>
      </c>
      <c r="Q2153" s="48" t="s">
        <v>2780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131893.107107912</v>
      </c>
      <c r="AB2153" s="24">
        <v>0.065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ht="14.25" spans="1:34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2776</v>
      </c>
      <c r="F2154" s="20" t="s">
        <v>2776</v>
      </c>
      <c r="G2154" s="20" t="s">
        <v>2776</v>
      </c>
      <c r="H2154" s="20" t="s">
        <v>1999</v>
      </c>
      <c r="I2154" s="20" t="s">
        <v>2000</v>
      </c>
      <c r="J2154" s="20" t="s">
        <v>2001</v>
      </c>
      <c r="K2154" s="20" t="str">
        <f>VLOOKUP(H2154,[1]媒体表!C:T,18,0)</f>
        <v>北京多彩</v>
      </c>
      <c r="L2154" s="20" t="s">
        <v>2781</v>
      </c>
      <c r="M2154" s="47"/>
      <c r="N2154" s="20" t="s">
        <v>42</v>
      </c>
      <c r="O2154" s="20" t="s">
        <v>43</v>
      </c>
      <c r="P2154" s="47">
        <v>0.02</v>
      </c>
      <c r="Q2154" s="48" t="s">
        <v>2782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25706.4705882353</v>
      </c>
      <c r="X2154" s="32"/>
      <c r="Y2154" s="32">
        <f t="shared" si="239"/>
        <v>25706.4705882353</v>
      </c>
      <c r="Z2154" s="32">
        <f t="shared" si="240"/>
        <v>514.129411764705</v>
      </c>
      <c r="AA2154" s="34">
        <v>0</v>
      </c>
      <c r="AB2154" s="24">
        <v>0.065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ht="14.25" spans="1:34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2776</v>
      </c>
      <c r="F2155" s="20" t="s">
        <v>2776</v>
      </c>
      <c r="G2155" s="20" t="s">
        <v>2776</v>
      </c>
      <c r="H2155" s="20" t="s">
        <v>1999</v>
      </c>
      <c r="I2155" s="20" t="s">
        <v>2000</v>
      </c>
      <c r="J2155" s="20" t="s">
        <v>2001</v>
      </c>
      <c r="K2155" s="20" t="str">
        <f>VLOOKUP(H2155,[1]媒体表!C:T,18,0)</f>
        <v>北京多彩</v>
      </c>
      <c r="L2155" s="20" t="s">
        <v>2781</v>
      </c>
      <c r="M2155" s="47"/>
      <c r="N2155" s="20" t="s">
        <v>42</v>
      </c>
      <c r="O2155" s="20" t="s">
        <v>82</v>
      </c>
      <c r="P2155" s="47">
        <v>0</v>
      </c>
      <c r="Q2155" s="48" t="s">
        <v>2782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158857.12076683</v>
      </c>
      <c r="AB2155" s="24">
        <v>0.065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ht="14.25" spans="1:34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2783</v>
      </c>
      <c r="F2156" s="20" t="s">
        <v>2783</v>
      </c>
      <c r="G2156" s="20" t="s">
        <v>2783</v>
      </c>
      <c r="H2156" s="20" t="s">
        <v>1999</v>
      </c>
      <c r="I2156" s="20" t="s">
        <v>2000</v>
      </c>
      <c r="J2156" s="20" t="s">
        <v>2001</v>
      </c>
      <c r="K2156" s="20" t="str">
        <f>VLOOKUP(H2156,[1]媒体表!C:T,18,0)</f>
        <v>北京多彩</v>
      </c>
      <c r="L2156" s="20" t="s">
        <v>2783</v>
      </c>
      <c r="M2156" s="47"/>
      <c r="N2156" s="20" t="s">
        <v>42</v>
      </c>
      <c r="O2156" s="20" t="s">
        <v>43</v>
      </c>
      <c r="P2156" s="47">
        <v>0.02</v>
      </c>
      <c r="Q2156" s="48" t="s">
        <v>2784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0.065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ht="14.25" spans="1:34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2785</v>
      </c>
      <c r="F2157" s="20" t="s">
        <v>2785</v>
      </c>
      <c r="G2157" s="20" t="s">
        <v>2785</v>
      </c>
      <c r="H2157" s="20" t="s">
        <v>1999</v>
      </c>
      <c r="I2157" s="20" t="s">
        <v>2000</v>
      </c>
      <c r="J2157" s="20" t="s">
        <v>2001</v>
      </c>
      <c r="K2157" s="20" t="str">
        <f>VLOOKUP(H2157,[1]媒体表!C:T,18,0)</f>
        <v>北京多彩</v>
      </c>
      <c r="L2157" s="20" t="s">
        <v>2786</v>
      </c>
      <c r="M2157" s="47"/>
      <c r="N2157" s="20" t="s">
        <v>42</v>
      </c>
      <c r="O2157" s="20" t="s">
        <v>43</v>
      </c>
      <c r="P2157" s="47">
        <v>0.02</v>
      </c>
      <c r="Q2157" s="48" t="s">
        <v>2787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0.065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ht="14.25" spans="1:34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2788</v>
      </c>
      <c r="F2158" s="20" t="s">
        <v>2789</v>
      </c>
      <c r="G2158" s="20" t="s">
        <v>2788</v>
      </c>
      <c r="H2158" s="20" t="s">
        <v>1999</v>
      </c>
      <c r="I2158" s="20" t="s">
        <v>2000</v>
      </c>
      <c r="J2158" s="20" t="s">
        <v>2001</v>
      </c>
      <c r="K2158" s="20" t="str">
        <f>VLOOKUP(H2158,[1]媒体表!C:T,18,0)</f>
        <v>北京多彩</v>
      </c>
      <c r="L2158" s="20" t="s">
        <v>2790</v>
      </c>
      <c r="M2158" s="47"/>
      <c r="N2158" s="20" t="s">
        <v>59</v>
      </c>
      <c r="O2158" s="20" t="s">
        <v>82</v>
      </c>
      <c r="P2158" s="47">
        <v>0</v>
      </c>
      <c r="Q2158" s="48" t="s">
        <v>2791</v>
      </c>
      <c r="R2158" s="40"/>
      <c r="S2158" s="34">
        <v>142.45</v>
      </c>
      <c r="T2158" s="34"/>
      <c r="U2158" s="32">
        <v>0</v>
      </c>
      <c r="V2158" s="32">
        <f t="shared" si="241"/>
        <v>142.45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ht="14.25" spans="1:34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2792</v>
      </c>
      <c r="F2159" s="20" t="s">
        <v>2792</v>
      </c>
      <c r="G2159" s="20" t="s">
        <v>2792</v>
      </c>
      <c r="H2159" s="20" t="s">
        <v>1999</v>
      </c>
      <c r="I2159" s="20" t="s">
        <v>2000</v>
      </c>
      <c r="J2159" s="20" t="s">
        <v>2001</v>
      </c>
      <c r="K2159" s="20" t="str">
        <f>VLOOKUP(H2159,[1]媒体表!C:T,18,0)</f>
        <v>北京多彩</v>
      </c>
      <c r="L2159" s="20" t="s">
        <v>2792</v>
      </c>
      <c r="M2159" s="47"/>
      <c r="N2159" s="20" t="s">
        <v>42</v>
      </c>
      <c r="O2159" s="20" t="s">
        <v>43</v>
      </c>
      <c r="P2159" s="47">
        <v>0.02</v>
      </c>
      <c r="Q2159" s="48" t="s">
        <v>2793</v>
      </c>
      <c r="R2159" s="40"/>
      <c r="S2159" s="34">
        <v>3.10000000000036</v>
      </c>
      <c r="T2159" s="34"/>
      <c r="U2159" s="32">
        <v>0</v>
      </c>
      <c r="V2159" s="32">
        <f t="shared" si="241"/>
        <v>3.10000000000036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0.065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ht="14.25" spans="1:34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2794</v>
      </c>
      <c r="F2160" s="20" t="s">
        <v>2795</v>
      </c>
      <c r="G2160" s="20" t="s">
        <v>2794</v>
      </c>
      <c r="H2160" s="20" t="s">
        <v>1999</v>
      </c>
      <c r="I2160" s="20" t="s">
        <v>2000</v>
      </c>
      <c r="J2160" s="20" t="s">
        <v>2001</v>
      </c>
      <c r="K2160" s="20" t="str">
        <f>VLOOKUP(H2160,[1]媒体表!C:T,18,0)</f>
        <v>北京多彩</v>
      </c>
      <c r="L2160" s="20" t="s">
        <v>2790</v>
      </c>
      <c r="M2160" s="47"/>
      <c r="N2160" s="20" t="s">
        <v>59</v>
      </c>
      <c r="O2160" s="20" t="s">
        <v>43</v>
      </c>
      <c r="P2160" s="47">
        <v>0.1</v>
      </c>
      <c r="Q2160" s="48" t="s">
        <v>2796</v>
      </c>
      <c r="R2160" s="40"/>
      <c r="S2160" s="34">
        <v>464.880000000001</v>
      </c>
      <c r="T2160" s="34"/>
      <c r="U2160" s="32">
        <v>0</v>
      </c>
      <c r="V2160" s="32">
        <f t="shared" si="241"/>
        <v>464.880000000001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ht="14.25" spans="1:34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2794</v>
      </c>
      <c r="F2161" s="20" t="s">
        <v>2795</v>
      </c>
      <c r="G2161" s="20" t="s">
        <v>2794</v>
      </c>
      <c r="H2161" s="20" t="s">
        <v>1999</v>
      </c>
      <c r="I2161" s="20" t="s">
        <v>2000</v>
      </c>
      <c r="J2161" s="20" t="s">
        <v>2001</v>
      </c>
      <c r="K2161" s="20" t="str">
        <f>VLOOKUP(H2161,[1]媒体表!C:T,18,0)</f>
        <v>北京多彩</v>
      </c>
      <c r="L2161" s="20" t="s">
        <v>2790</v>
      </c>
      <c r="M2161" s="47"/>
      <c r="N2161" s="20" t="s">
        <v>59</v>
      </c>
      <c r="O2161" s="20" t="s">
        <v>43</v>
      </c>
      <c r="P2161" s="47">
        <v>0.1</v>
      </c>
      <c r="Q2161" s="48" t="s">
        <v>2797</v>
      </c>
      <c r="R2161" s="40"/>
      <c r="S2161" s="34">
        <v>347.590000000026</v>
      </c>
      <c r="T2161" s="34"/>
      <c r="U2161" s="32">
        <v>0</v>
      </c>
      <c r="V2161" s="32">
        <f t="shared" si="241"/>
        <v>347.590000000026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ht="14.25" spans="1:34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2798</v>
      </c>
      <c r="F2162" s="20" t="s">
        <v>2798</v>
      </c>
      <c r="G2162" s="20" t="s">
        <v>2798</v>
      </c>
      <c r="H2162" s="20" t="s">
        <v>1999</v>
      </c>
      <c r="I2162" s="20" t="s">
        <v>2000</v>
      </c>
      <c r="J2162" s="20" t="s">
        <v>2001</v>
      </c>
      <c r="K2162" s="20" t="str">
        <f>VLOOKUP(H2162,[1]媒体表!C:T,18,0)</f>
        <v>北京多彩</v>
      </c>
      <c r="L2162" s="20" t="s">
        <v>2794</v>
      </c>
      <c r="M2162" s="47"/>
      <c r="N2162" s="20" t="s">
        <v>59</v>
      </c>
      <c r="O2162" s="20" t="s">
        <v>43</v>
      </c>
      <c r="P2162" s="47">
        <v>0.02</v>
      </c>
      <c r="Q2162" s="48" t="s">
        <v>2799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ht="14.25" spans="1:34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2800</v>
      </c>
      <c r="F2163" s="20" t="s">
        <v>2800</v>
      </c>
      <c r="G2163" s="20" t="s">
        <v>2800</v>
      </c>
      <c r="H2163" s="20" t="s">
        <v>1999</v>
      </c>
      <c r="I2163" s="20" t="s">
        <v>2000</v>
      </c>
      <c r="J2163" s="20" t="s">
        <v>2001</v>
      </c>
      <c r="K2163" s="20" t="str">
        <f>VLOOKUP(H2163,[1]媒体表!C:T,18,0)</f>
        <v>北京多彩</v>
      </c>
      <c r="L2163" s="20" t="s">
        <v>2800</v>
      </c>
      <c r="M2163" s="47"/>
      <c r="N2163" s="20" t="s">
        <v>59</v>
      </c>
      <c r="O2163" s="20" t="s">
        <v>43</v>
      </c>
      <c r="P2163" s="47">
        <v>0.06</v>
      </c>
      <c r="Q2163" s="48" t="s">
        <v>2801</v>
      </c>
      <c r="R2163" s="40"/>
      <c r="S2163" s="34">
        <v>2374.26</v>
      </c>
      <c r="T2163" s="34"/>
      <c r="U2163" s="32">
        <v>0</v>
      </c>
      <c r="V2163" s="32">
        <f t="shared" si="241"/>
        <v>2374.26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ht="14.25" spans="1:34">
      <c r="A2164" s="19">
        <v>43831</v>
      </c>
      <c r="B2164" s="20" t="s">
        <v>34</v>
      </c>
      <c r="C2164" s="20" t="s">
        <v>1332</v>
      </c>
      <c r="D2164" s="20" t="s">
        <v>1886</v>
      </c>
      <c r="E2164" s="20" t="s">
        <v>2802</v>
      </c>
      <c r="F2164" s="20" t="s">
        <v>2802</v>
      </c>
      <c r="G2164" s="20" t="s">
        <v>2802</v>
      </c>
      <c r="H2164" s="20" t="s">
        <v>1999</v>
      </c>
      <c r="I2164" s="20" t="s">
        <v>2000</v>
      </c>
      <c r="J2164" s="20" t="s">
        <v>2001</v>
      </c>
      <c r="K2164" s="20" t="str">
        <f>VLOOKUP(H2164,[1]媒体表!C:T,18,0)</f>
        <v>北京多彩</v>
      </c>
      <c r="L2164" s="20" t="s">
        <v>2802</v>
      </c>
      <c r="M2164" s="47"/>
      <c r="N2164" s="20" t="s">
        <v>42</v>
      </c>
      <c r="O2164" s="20" t="s">
        <v>82</v>
      </c>
      <c r="P2164" s="47">
        <v>0</v>
      </c>
      <c r="Q2164" s="48" t="s">
        <v>2803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0.065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ht="14.25" spans="1:34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2804</v>
      </c>
      <c r="F2165" s="20" t="s">
        <v>2804</v>
      </c>
      <c r="G2165" s="20" t="s">
        <v>2804</v>
      </c>
      <c r="H2165" s="20" t="s">
        <v>1999</v>
      </c>
      <c r="I2165" s="20" t="s">
        <v>2000</v>
      </c>
      <c r="J2165" s="20" t="s">
        <v>2001</v>
      </c>
      <c r="K2165" s="20" t="str">
        <f>VLOOKUP(H2165,[1]媒体表!C:T,18,0)</f>
        <v>北京多彩</v>
      </c>
      <c r="L2165" s="20" t="s">
        <v>2805</v>
      </c>
      <c r="M2165" s="47"/>
      <c r="N2165" s="20" t="s">
        <v>333</v>
      </c>
      <c r="O2165" s="20" t="s">
        <v>43</v>
      </c>
      <c r="P2165" s="47">
        <v>0.04</v>
      </c>
      <c r="Q2165" s="48" t="s">
        <v>2806</v>
      </c>
      <c r="R2165" s="40"/>
      <c r="S2165" s="34">
        <v>-31310.4</v>
      </c>
      <c r="T2165" s="34"/>
      <c r="U2165" s="32">
        <v>0</v>
      </c>
      <c r="V2165" s="32">
        <f t="shared" si="241"/>
        <v>-31310.4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ht="14.25" spans="1:34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1999</v>
      </c>
      <c r="I2166" s="20" t="s">
        <v>2000</v>
      </c>
      <c r="J2166" s="20" t="s">
        <v>2001</v>
      </c>
      <c r="K2166" s="20" t="str">
        <f>VLOOKUP(H2166,[1]媒体表!C:T,18,0)</f>
        <v>北京多彩</v>
      </c>
      <c r="L2166" s="20" t="s">
        <v>2807</v>
      </c>
      <c r="M2166" s="47"/>
      <c r="N2166" s="20" t="s">
        <v>59</v>
      </c>
      <c r="O2166" s="20" t="s">
        <v>43</v>
      </c>
      <c r="P2166" s="47">
        <v>0.02</v>
      </c>
      <c r="Q2166" s="48" t="s">
        <v>2808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ht="14.25" spans="1:34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1999</v>
      </c>
      <c r="I2167" s="20" t="s">
        <v>2000</v>
      </c>
      <c r="J2167" s="20" t="s">
        <v>2001</v>
      </c>
      <c r="K2167" s="20" t="str">
        <f>VLOOKUP(H2167,[1]媒体表!C:T,18,0)</f>
        <v>北京多彩</v>
      </c>
      <c r="L2167" s="20" t="s">
        <v>2807</v>
      </c>
      <c r="M2167" s="47"/>
      <c r="N2167" s="20" t="s">
        <v>42</v>
      </c>
      <c r="O2167" s="20" t="s">
        <v>82</v>
      </c>
      <c r="P2167" s="47">
        <v>0</v>
      </c>
      <c r="Q2167" s="48" t="s">
        <v>2808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0.065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ht="14.25" spans="1:34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2809</v>
      </c>
      <c r="F2168" s="20" t="s">
        <v>2809</v>
      </c>
      <c r="G2168" s="20" t="s">
        <v>2809</v>
      </c>
      <c r="H2168" s="20" t="s">
        <v>1999</v>
      </c>
      <c r="I2168" s="20" t="s">
        <v>2000</v>
      </c>
      <c r="J2168" s="20" t="s">
        <v>2001</v>
      </c>
      <c r="K2168" s="20" t="str">
        <f>VLOOKUP(H2168,[1]媒体表!C:T,18,0)</f>
        <v>北京多彩</v>
      </c>
      <c r="L2168" s="20" t="s">
        <v>2809</v>
      </c>
      <c r="M2168" s="47"/>
      <c r="N2168" s="20" t="s">
        <v>42</v>
      </c>
      <c r="O2168" s="20" t="s">
        <v>82</v>
      </c>
      <c r="P2168" s="47">
        <v>0</v>
      </c>
      <c r="Q2168" s="48" t="s">
        <v>2810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0.065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ht="14.25" spans="1:34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1999</v>
      </c>
      <c r="I2169" s="20" t="s">
        <v>2000</v>
      </c>
      <c r="J2169" s="20" t="s">
        <v>2001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2811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16054.137254902</v>
      </c>
      <c r="X2169" s="32"/>
      <c r="Y2169" s="32">
        <f t="shared" si="244"/>
        <v>16054.137254902</v>
      </c>
      <c r="Z2169" s="32">
        <f t="shared" si="240"/>
        <v>321.08274509804</v>
      </c>
      <c r="AA2169" s="34">
        <v>0</v>
      </c>
      <c r="AB2169" s="24">
        <v>0.065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ht="14.25" spans="1:34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1999</v>
      </c>
      <c r="I2170" s="20" t="s">
        <v>2000</v>
      </c>
      <c r="J2170" s="20" t="s">
        <v>2001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2812</v>
      </c>
      <c r="R2170" s="40"/>
      <c r="S2170" s="34">
        <v>43046.9800000001</v>
      </c>
      <c r="T2170" s="34"/>
      <c r="U2170" s="50">
        <v>43046.9800000001</v>
      </c>
      <c r="V2170" s="32">
        <f t="shared" si="241"/>
        <v>0</v>
      </c>
      <c r="W2170" s="32">
        <f t="shared" si="242"/>
        <v>42202.9215686275</v>
      </c>
      <c r="X2170" s="32"/>
      <c r="Y2170" s="32">
        <f t="shared" si="244"/>
        <v>42202.9215686275</v>
      </c>
      <c r="Z2170" s="32">
        <f t="shared" ref="Z2170:Z2233" si="245">U2170-W2170</f>
        <v>844.058431372549</v>
      </c>
      <c r="AA2170" s="34">
        <v>0</v>
      </c>
      <c r="AB2170" s="24">
        <v>0.065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ht="14.25" spans="1:34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1999</v>
      </c>
      <c r="I2171" s="20" t="s">
        <v>2000</v>
      </c>
      <c r="J2171" s="20" t="s">
        <v>2001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2811</v>
      </c>
      <c r="R2171" s="40"/>
      <c r="S2171" s="34">
        <v>0</v>
      </c>
      <c r="T2171" s="34">
        <v>360000</v>
      </c>
      <c r="U2171" s="49">
        <v>265876.48</v>
      </c>
      <c r="V2171" s="32">
        <f t="shared" si="241"/>
        <v>94123.52</v>
      </c>
      <c r="W2171" s="32">
        <f t="shared" si="242"/>
        <v>265876.48</v>
      </c>
      <c r="X2171" s="32"/>
      <c r="Y2171" s="32">
        <f t="shared" si="244"/>
        <v>265876.48</v>
      </c>
      <c r="Z2171" s="32">
        <f t="shared" si="245"/>
        <v>0</v>
      </c>
      <c r="AA2171" s="34">
        <v>173078.808927771</v>
      </c>
      <c r="AB2171" s="24">
        <v>0.065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ht="14.25" spans="1:34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1999</v>
      </c>
      <c r="I2172" s="20" t="s">
        <v>2000</v>
      </c>
      <c r="J2172" s="20" t="s">
        <v>2001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2812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</v>
      </c>
      <c r="AB2172" s="24">
        <v>0.065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ht="14.25" spans="1:34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1878</v>
      </c>
      <c r="F2173" s="20" t="s">
        <v>1888</v>
      </c>
      <c r="G2173" s="20" t="s">
        <v>1878</v>
      </c>
      <c r="H2173" s="20" t="s">
        <v>1999</v>
      </c>
      <c r="I2173" s="20" t="s">
        <v>2000</v>
      </c>
      <c r="J2173" s="20" t="s">
        <v>2001</v>
      </c>
      <c r="K2173" s="20" t="str">
        <f>VLOOKUP(H2173,[1]媒体表!C:T,18,0)</f>
        <v>北京多彩</v>
      </c>
      <c r="L2173" s="20" t="s">
        <v>2813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</v>
      </c>
      <c r="AB2173" s="24">
        <v>0.065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ht="14.25" spans="1:34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1878</v>
      </c>
      <c r="F2174" s="20" t="s">
        <v>1888</v>
      </c>
      <c r="G2174" s="20" t="s">
        <v>1878</v>
      </c>
      <c r="H2174" s="20" t="s">
        <v>1999</v>
      </c>
      <c r="I2174" s="20" t="s">
        <v>2000</v>
      </c>
      <c r="J2174" s="20" t="s">
        <v>2001</v>
      </c>
      <c r="K2174" s="20" t="str">
        <f>VLOOKUP(H2174,[1]媒体表!C:T,18,0)</f>
        <v>北京多彩</v>
      </c>
      <c r="L2174" s="20" t="s">
        <v>2814</v>
      </c>
      <c r="M2174" s="47"/>
      <c r="N2174" s="20" t="s">
        <v>42</v>
      </c>
      <c r="O2174" s="20" t="s">
        <v>82</v>
      </c>
      <c r="P2174" s="47">
        <v>0</v>
      </c>
      <c r="Q2174" s="48" t="s">
        <v>2815</v>
      </c>
      <c r="R2174" s="40"/>
      <c r="S2174" s="34">
        <v>11042.29</v>
      </c>
      <c r="T2174" s="34">
        <v>30000</v>
      </c>
      <c r="U2174" s="32">
        <v>36487.7</v>
      </c>
      <c r="V2174" s="32">
        <f t="shared" si="241"/>
        <v>4554.59</v>
      </c>
      <c r="W2174" s="32">
        <f t="shared" si="242"/>
        <v>36487.7</v>
      </c>
      <c r="X2174" s="32"/>
      <c r="Y2174" s="32">
        <f t="shared" si="244"/>
        <v>36487.7</v>
      </c>
      <c r="Z2174" s="32">
        <f t="shared" si="245"/>
        <v>0</v>
      </c>
      <c r="AA2174" s="34">
        <v>22374.5247823622</v>
      </c>
      <c r="AB2174" s="24">
        <v>0.065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ht="14.25" spans="1:34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1878</v>
      </c>
      <c r="F2175" s="20" t="s">
        <v>1888</v>
      </c>
      <c r="G2175" s="20" t="s">
        <v>1878</v>
      </c>
      <c r="H2175" s="20" t="s">
        <v>1999</v>
      </c>
      <c r="I2175" s="20" t="s">
        <v>2000</v>
      </c>
      <c r="J2175" s="20" t="s">
        <v>2001</v>
      </c>
      <c r="K2175" s="20" t="str">
        <f>VLOOKUP(H2175,[1]媒体表!C:T,18,0)</f>
        <v>北京多彩</v>
      </c>
      <c r="L2175" s="20" t="s">
        <v>1889</v>
      </c>
      <c r="M2175" s="47"/>
      <c r="N2175" s="20" t="s">
        <v>42</v>
      </c>
      <c r="O2175" s="20" t="s">
        <v>82</v>
      </c>
      <c r="P2175" s="47">
        <v>0</v>
      </c>
      <c r="Q2175" s="48" t="s">
        <v>2816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23918.8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8016.70459606205</v>
      </c>
      <c r="AB2175" s="24">
        <v>0.065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ht="14.25" spans="1:34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2817</v>
      </c>
      <c r="F2176" s="20" t="s">
        <v>2817</v>
      </c>
      <c r="G2176" s="20" t="s">
        <v>2817</v>
      </c>
      <c r="H2176" s="20" t="s">
        <v>1999</v>
      </c>
      <c r="I2176" s="20" t="s">
        <v>2000</v>
      </c>
      <c r="J2176" s="20" t="s">
        <v>2001</v>
      </c>
      <c r="K2176" s="20" t="str">
        <f>VLOOKUP(H2176,[1]媒体表!C:T,18,0)</f>
        <v>北京多彩</v>
      </c>
      <c r="L2176" s="20" t="s">
        <v>2818</v>
      </c>
      <c r="M2176" s="47"/>
      <c r="N2176" s="20" t="s">
        <v>42</v>
      </c>
      <c r="O2176" s="20" t="s">
        <v>43</v>
      </c>
      <c r="P2176" s="47">
        <v>0.02</v>
      </c>
      <c r="Q2176" s="48" t="s">
        <v>2819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0.065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ht="14.25" spans="1:34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2820</v>
      </c>
      <c r="F2177" s="20" t="s">
        <v>2820</v>
      </c>
      <c r="G2177" s="20" t="s">
        <v>2820</v>
      </c>
      <c r="H2177" s="20" t="s">
        <v>1999</v>
      </c>
      <c r="I2177" s="20" t="s">
        <v>2000</v>
      </c>
      <c r="J2177" s="20" t="s">
        <v>2001</v>
      </c>
      <c r="K2177" s="20" t="str">
        <f>VLOOKUP(H2177,[1]媒体表!C:T,18,0)</f>
        <v>北京多彩</v>
      </c>
      <c r="L2177" s="20" t="s">
        <v>2821</v>
      </c>
      <c r="M2177" s="47"/>
      <c r="N2177" s="20" t="s">
        <v>59</v>
      </c>
      <c r="O2177" s="20" t="s">
        <v>43</v>
      </c>
      <c r="P2177" s="47">
        <v>0.1</v>
      </c>
      <c r="Q2177" s="48" t="s">
        <v>2822</v>
      </c>
      <c r="R2177" s="40"/>
      <c r="S2177" s="34">
        <v>622.82</v>
      </c>
      <c r="T2177" s="34"/>
      <c r="U2177" s="32">
        <v>0</v>
      </c>
      <c r="V2177" s="32">
        <f t="shared" si="241"/>
        <v>622.82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ht="14.25" spans="1:34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2823</v>
      </c>
      <c r="F2178" s="20" t="s">
        <v>2823</v>
      </c>
      <c r="G2178" s="20" t="s">
        <v>2823</v>
      </c>
      <c r="H2178" s="20" t="s">
        <v>1999</v>
      </c>
      <c r="I2178" s="20" t="s">
        <v>2000</v>
      </c>
      <c r="J2178" s="20" t="s">
        <v>2001</v>
      </c>
      <c r="K2178" s="20" t="str">
        <f>VLOOKUP(H2178,[1]媒体表!C:T,18,0)</f>
        <v>北京多彩</v>
      </c>
      <c r="L2178" s="20" t="s">
        <v>2823</v>
      </c>
      <c r="M2178" s="47"/>
      <c r="N2178" s="20" t="s">
        <v>42</v>
      </c>
      <c r="O2178" s="20" t="s">
        <v>43</v>
      </c>
      <c r="P2178" s="47">
        <v>0.02</v>
      </c>
      <c r="Q2178" s="48" t="s">
        <v>2824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</v>
      </c>
      <c r="W2178" s="32">
        <f t="shared" si="242"/>
        <v>328023.529411765</v>
      </c>
      <c r="X2178" s="32"/>
      <c r="Y2178" s="32">
        <f t="shared" si="244"/>
        <v>328023.529411765</v>
      </c>
      <c r="Z2178" s="32">
        <f t="shared" si="245"/>
        <v>6560.4705882353</v>
      </c>
      <c r="AA2178" s="34">
        <v>205169.358435359</v>
      </c>
      <c r="AB2178" s="24">
        <v>0.065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ht="14.25" spans="1:34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1999</v>
      </c>
      <c r="I2179" s="20" t="s">
        <v>2000</v>
      </c>
      <c r="J2179" s="20" t="s">
        <v>2001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2825</v>
      </c>
      <c r="R2179" s="40"/>
      <c r="S2179" s="34">
        <v>8288.2</v>
      </c>
      <c r="T2179" s="34"/>
      <c r="U2179" s="32">
        <v>4696.5</v>
      </c>
      <c r="V2179" s="32">
        <f t="shared" si="241"/>
        <v>3591.7</v>
      </c>
      <c r="W2179" s="32">
        <f t="shared" si="242"/>
        <v>4604.41176470588</v>
      </c>
      <c r="X2179" s="32"/>
      <c r="Y2179" s="32">
        <f t="shared" si="244"/>
        <v>4604.41176470588</v>
      </c>
      <c r="Z2179" s="32">
        <f t="shared" si="245"/>
        <v>92.088235294118</v>
      </c>
      <c r="AA2179" s="34">
        <v>2879.92818512441</v>
      </c>
      <c r="AB2179" s="24">
        <v>0.065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ht="14.25" spans="1:34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1999</v>
      </c>
      <c r="I2180" s="20" t="s">
        <v>2000</v>
      </c>
      <c r="J2180" s="20" t="s">
        <v>2001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2826</v>
      </c>
      <c r="R2180" s="40"/>
      <c r="S2180" s="34">
        <v>15240.45</v>
      </c>
      <c r="T2180" s="34">
        <v>147900</v>
      </c>
      <c r="U2180" s="32">
        <v>82632.6</v>
      </c>
      <c r="V2180" s="32">
        <f t="shared" si="241"/>
        <v>80507.85</v>
      </c>
      <c r="W2180" s="32">
        <f t="shared" si="242"/>
        <v>81012.3529411765</v>
      </c>
      <c r="X2180" s="32"/>
      <c r="Y2180" s="32">
        <f t="shared" si="244"/>
        <v>81012.3529411765</v>
      </c>
      <c r="Z2180" s="32">
        <f t="shared" si="245"/>
        <v>1620.24705882353</v>
      </c>
      <c r="AA2180" s="34">
        <v>50670.9153092965</v>
      </c>
      <c r="AB2180" s="24">
        <v>0.065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ht="14.25" spans="1:34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1904</v>
      </c>
      <c r="F2181" s="20" t="s">
        <v>1904</v>
      </c>
      <c r="G2181" s="20" t="s">
        <v>1904</v>
      </c>
      <c r="H2181" s="20" t="s">
        <v>1999</v>
      </c>
      <c r="I2181" s="20" t="s">
        <v>2000</v>
      </c>
      <c r="J2181" s="20" t="s">
        <v>2001</v>
      </c>
      <c r="K2181" s="20" t="str">
        <f>VLOOKUP(H2181,[1]媒体表!C:T,18,0)</f>
        <v>北京多彩</v>
      </c>
      <c r="L2181" s="20" t="s">
        <v>2827</v>
      </c>
      <c r="M2181" s="47"/>
      <c r="N2181" s="20" t="s">
        <v>42</v>
      </c>
      <c r="O2181" s="20" t="s">
        <v>43</v>
      </c>
      <c r="P2181" s="47">
        <v>0.04</v>
      </c>
      <c r="Q2181" s="48" t="s">
        <v>2828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0.065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ht="14.25" spans="1:34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1904</v>
      </c>
      <c r="F2182" s="20" t="s">
        <v>1904</v>
      </c>
      <c r="G2182" s="20" t="s">
        <v>1904</v>
      </c>
      <c r="H2182" s="20" t="s">
        <v>1999</v>
      </c>
      <c r="I2182" s="20" t="s">
        <v>2000</v>
      </c>
      <c r="J2182" s="20" t="s">
        <v>2001</v>
      </c>
      <c r="K2182" s="20" t="str">
        <f>VLOOKUP(H2182,[1]媒体表!C:T,18,0)</f>
        <v>北京多彩</v>
      </c>
      <c r="L2182" s="20" t="s">
        <v>1904</v>
      </c>
      <c r="M2182" s="47"/>
      <c r="N2182" s="20" t="s">
        <v>42</v>
      </c>
      <c r="O2182" s="20" t="s">
        <v>43</v>
      </c>
      <c r="P2182" s="47">
        <v>0.02</v>
      </c>
      <c r="Q2182" s="48" t="s">
        <v>2829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</v>
      </c>
      <c r="X2182" s="32"/>
      <c r="Y2182" s="32">
        <f t="shared" si="244"/>
        <v>3908.62745098039</v>
      </c>
      <c r="Z2182" s="32">
        <f t="shared" si="245"/>
        <v>-383.127450980392</v>
      </c>
      <c r="AA2182" s="34">
        <v>2623.16241172279</v>
      </c>
      <c r="AB2182" s="24">
        <v>0.065</v>
      </c>
      <c r="AC2182" s="36"/>
      <c r="AD2182" s="36"/>
      <c r="AE2182" s="34" t="s">
        <v>2830</v>
      </c>
      <c r="AF2182" s="34" t="s">
        <v>44</v>
      </c>
      <c r="AG2182" s="24">
        <v>0</v>
      </c>
      <c r="AH2182" s="38" t="e">
        <v>#N/A</v>
      </c>
    </row>
    <row r="2183" ht="14.25" spans="1:34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2831</v>
      </c>
      <c r="F2183" s="20" t="s">
        <v>2831</v>
      </c>
      <c r="G2183" s="20" t="s">
        <v>2831</v>
      </c>
      <c r="H2183" s="20" t="s">
        <v>1999</v>
      </c>
      <c r="I2183" s="20" t="s">
        <v>2000</v>
      </c>
      <c r="J2183" s="20" t="s">
        <v>2001</v>
      </c>
      <c r="K2183" s="20" t="str">
        <f>VLOOKUP(H2183,[1]媒体表!C:T,18,0)</f>
        <v>北京多彩</v>
      </c>
      <c r="L2183" s="20" t="s">
        <v>2831</v>
      </c>
      <c r="M2183" s="47"/>
      <c r="N2183" s="20" t="s">
        <v>59</v>
      </c>
      <c r="O2183" s="20" t="s">
        <v>43</v>
      </c>
      <c r="P2183" s="47">
        <v>0.1</v>
      </c>
      <c r="Q2183" s="48" t="s">
        <v>2832</v>
      </c>
      <c r="R2183" s="40"/>
      <c r="S2183" s="34">
        <v>0.0300000000006548</v>
      </c>
      <c r="T2183" s="34"/>
      <c r="U2183" s="32">
        <v>0</v>
      </c>
      <c r="V2183" s="32">
        <f t="shared" ref="V2183:V2186" si="246">S2183+T2183-U2183</f>
        <v>0.0300000000006548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ht="14.25" spans="1:34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2833</v>
      </c>
      <c r="F2184" s="20" t="s">
        <v>2833</v>
      </c>
      <c r="G2184" s="20" t="s">
        <v>2833</v>
      </c>
      <c r="H2184" s="20" t="s">
        <v>1999</v>
      </c>
      <c r="I2184" s="20" t="s">
        <v>2000</v>
      </c>
      <c r="J2184" s="20" t="s">
        <v>2001</v>
      </c>
      <c r="K2184" s="20" t="str">
        <f>VLOOKUP(H2184,[1]媒体表!C:T,18,0)</f>
        <v>北京多彩</v>
      </c>
      <c r="L2184" s="20" t="s">
        <v>2833</v>
      </c>
      <c r="M2184" s="47"/>
      <c r="N2184" s="20" t="s">
        <v>42</v>
      </c>
      <c r="O2184" s="20" t="s">
        <v>82</v>
      </c>
      <c r="P2184" s="47">
        <v>0</v>
      </c>
      <c r="Q2184" s="48" t="s">
        <v>2834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0.065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ht="14.25" spans="1:34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2835</v>
      </c>
      <c r="F2185" s="20" t="s">
        <v>2835</v>
      </c>
      <c r="G2185" s="20" t="s">
        <v>2835</v>
      </c>
      <c r="H2185" s="20" t="s">
        <v>1999</v>
      </c>
      <c r="I2185" s="20" t="s">
        <v>2000</v>
      </c>
      <c r="J2185" s="20" t="s">
        <v>2001</v>
      </c>
      <c r="K2185" s="20" t="str">
        <f>VLOOKUP(H2185,[1]媒体表!C:T,18,0)</f>
        <v>北京多彩</v>
      </c>
      <c r="L2185" s="20" t="s">
        <v>2836</v>
      </c>
      <c r="M2185" s="47"/>
      <c r="N2185" s="20" t="s">
        <v>59</v>
      </c>
      <c r="O2185" s="20" t="s">
        <v>43</v>
      </c>
      <c r="P2185" s="47">
        <v>0.02</v>
      </c>
      <c r="Q2185" s="48" t="s">
        <v>2837</v>
      </c>
      <c r="R2185" s="40"/>
      <c r="S2185" s="34">
        <v>49207.57</v>
      </c>
      <c r="T2185" s="34"/>
      <c r="U2185" s="32">
        <v>49207.56</v>
      </c>
      <c r="V2185" s="32">
        <f t="shared" si="246"/>
        <v>0.0100000000020373</v>
      </c>
      <c r="W2185" s="32">
        <f t="shared" si="247"/>
        <v>48242.7058823529</v>
      </c>
      <c r="X2185" s="32"/>
      <c r="Y2185" s="32">
        <f t="shared" si="244"/>
        <v>48242.7058823529</v>
      </c>
      <c r="Z2185" s="32">
        <f t="shared" si="245"/>
        <v>964.854117647061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ht="14.25" spans="1:34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2838</v>
      </c>
      <c r="F2186" s="20" t="s">
        <v>2838</v>
      </c>
      <c r="G2186" s="20" t="s">
        <v>2838</v>
      </c>
      <c r="H2186" s="20" t="s">
        <v>1999</v>
      </c>
      <c r="I2186" s="20" t="s">
        <v>2000</v>
      </c>
      <c r="J2186" s="20" t="s">
        <v>2001</v>
      </c>
      <c r="K2186" s="20" t="str">
        <f>VLOOKUP(H2186,[1]媒体表!C:T,18,0)</f>
        <v>北京多彩</v>
      </c>
      <c r="L2186" s="20" t="s">
        <v>2838</v>
      </c>
      <c r="M2186" s="47"/>
      <c r="N2186" s="20" t="s">
        <v>42</v>
      </c>
      <c r="O2186" s="20" t="s">
        <v>43</v>
      </c>
      <c r="P2186" s="47">
        <v>0.02</v>
      </c>
      <c r="Q2186" s="48" t="s">
        <v>2839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0.065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ht="14.25" spans="1:34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1999</v>
      </c>
      <c r="I2187" s="20" t="s">
        <v>2000</v>
      </c>
      <c r="J2187" s="20" t="s">
        <v>2001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2840</v>
      </c>
      <c r="R2187" s="40"/>
      <c r="S2187" s="34">
        <v>31172.9100000001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75176.2592592593</v>
      </c>
      <c r="X2187" s="32"/>
      <c r="Y2187" s="32">
        <f t="shared" si="244"/>
        <v>75176.2592592593</v>
      </c>
      <c r="Z2187" s="32">
        <f t="shared" si="245"/>
        <v>-22535.4192592593</v>
      </c>
      <c r="AA2187" s="34">
        <v>60829.2684945437</v>
      </c>
      <c r="AB2187" s="24">
        <v>0.12</v>
      </c>
      <c r="AC2187" s="36"/>
      <c r="AD2187" s="36"/>
      <c r="AE2187" s="34" t="s">
        <v>2841</v>
      </c>
      <c r="AF2187" s="34" t="s">
        <v>53</v>
      </c>
      <c r="AG2187" s="24">
        <v>0</v>
      </c>
      <c r="AH2187" s="38" t="e">
        <v>#N/A</v>
      </c>
    </row>
    <row r="2188" ht="14.25" spans="1:34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1999</v>
      </c>
      <c r="I2188" s="20" t="s">
        <v>2000</v>
      </c>
      <c r="J2188" s="20" t="s">
        <v>2001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2842</v>
      </c>
      <c r="R2188" s="40"/>
      <c r="S2188" s="34">
        <v>0.0100000000093132</v>
      </c>
      <c r="T2188" s="34"/>
      <c r="U2188" s="32">
        <v>0</v>
      </c>
      <c r="V2188" s="32">
        <f t="shared" ref="V2188:V2251" si="248">S2188+T2188-U2188</f>
        <v>0.0100000000093132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ht="14.25" spans="1:34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2804</v>
      </c>
      <c r="F2189" s="20" t="s">
        <v>2804</v>
      </c>
      <c r="G2189" s="20" t="s">
        <v>2804</v>
      </c>
      <c r="H2189" s="20" t="s">
        <v>1999</v>
      </c>
      <c r="I2189" s="20" t="s">
        <v>2000</v>
      </c>
      <c r="J2189" s="20" t="s">
        <v>2001</v>
      </c>
      <c r="K2189" s="20" t="str">
        <f>VLOOKUP(H2189,[1]媒体表!C:T,18,0)</f>
        <v>北京多彩</v>
      </c>
      <c r="L2189" s="20" t="s">
        <v>2804</v>
      </c>
      <c r="M2189" s="20"/>
      <c r="N2189" s="20" t="s">
        <v>59</v>
      </c>
      <c r="O2189" s="20" t="s">
        <v>43</v>
      </c>
      <c r="P2189" s="47">
        <v>0.04</v>
      </c>
      <c r="Q2189" s="48" t="s">
        <v>2806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ht="14.25" spans="1:34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2804</v>
      </c>
      <c r="F2190" s="20" t="s">
        <v>2804</v>
      </c>
      <c r="G2190" s="20" t="s">
        <v>2804</v>
      </c>
      <c r="H2190" s="20" t="s">
        <v>1999</v>
      </c>
      <c r="I2190" s="20" t="s">
        <v>2000</v>
      </c>
      <c r="J2190" s="20" t="s">
        <v>2001</v>
      </c>
      <c r="K2190" s="20" t="str">
        <f>VLOOKUP(H2190,[1]媒体表!C:T,18,0)</f>
        <v>北京多彩</v>
      </c>
      <c r="L2190" s="20" t="s">
        <v>2804</v>
      </c>
      <c r="M2190" s="20"/>
      <c r="N2190" s="20" t="s">
        <v>42</v>
      </c>
      <c r="O2190" s="20" t="s">
        <v>43</v>
      </c>
      <c r="P2190" s="47">
        <v>0.02</v>
      </c>
      <c r="Q2190" s="48" t="s">
        <v>2806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0.065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ht="14.25" spans="1:34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1929</v>
      </c>
      <c r="G2191" s="20" t="s">
        <v>1927</v>
      </c>
      <c r="H2191" s="20" t="s">
        <v>1999</v>
      </c>
      <c r="I2191" s="20" t="s">
        <v>2000</v>
      </c>
      <c r="J2191" s="20" t="s">
        <v>2001</v>
      </c>
      <c r="K2191" s="20" t="str">
        <f>VLOOKUP(H2191,[1]媒体表!C:T,18,0)</f>
        <v>北京多彩</v>
      </c>
      <c r="L2191" s="20" t="s">
        <v>2436</v>
      </c>
      <c r="M2191" s="47"/>
      <c r="N2191" s="20" t="s">
        <v>59</v>
      </c>
      <c r="O2191" s="20" t="s">
        <v>43</v>
      </c>
      <c r="P2191" s="47">
        <v>0.15</v>
      </c>
      <c r="Q2191" s="48" t="s">
        <v>2437</v>
      </c>
      <c r="R2191" s="40"/>
      <c r="S2191" s="34">
        <v>0</v>
      </c>
      <c r="T2191" s="34">
        <v>-284.54</v>
      </c>
      <c r="U2191" s="32">
        <v>0</v>
      </c>
      <c r="V2191" s="32">
        <f t="shared" si="248"/>
        <v>-284.54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ht="14.25" spans="1:34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1929</v>
      </c>
      <c r="G2192" s="20" t="s">
        <v>1927</v>
      </c>
      <c r="H2192" s="20" t="s">
        <v>1999</v>
      </c>
      <c r="I2192" s="20" t="s">
        <v>2000</v>
      </c>
      <c r="J2192" s="20" t="s">
        <v>2001</v>
      </c>
      <c r="K2192" s="20" t="str">
        <f>VLOOKUP(H2192,[1]媒体表!C:T,18,0)</f>
        <v>北京多彩</v>
      </c>
      <c r="L2192" s="20" t="s">
        <v>2436</v>
      </c>
      <c r="M2192" s="47"/>
      <c r="N2192" s="20" t="s">
        <v>42</v>
      </c>
      <c r="O2192" s="20" t="s">
        <v>43</v>
      </c>
      <c r="P2192" s="47">
        <v>0.04</v>
      </c>
      <c r="Q2192" s="48" t="s">
        <v>2437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</v>
      </c>
      <c r="X2192" s="32"/>
      <c r="Y2192" s="32">
        <f t="shared" si="244"/>
        <v>247.432692307692</v>
      </c>
      <c r="Z2192" s="32">
        <f t="shared" si="245"/>
        <v>9.89730769230769</v>
      </c>
      <c r="AA2192" s="34">
        <v>0</v>
      </c>
      <c r="AB2192" s="24">
        <v>0.065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ht="14.25" spans="1:34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1688</v>
      </c>
      <c r="F2193" s="51" t="s">
        <v>2843</v>
      </c>
      <c r="G2193" s="51" t="s">
        <v>1688</v>
      </c>
      <c r="H2193" s="51" t="s">
        <v>2844</v>
      </c>
      <c r="I2193" s="20" t="s">
        <v>2845</v>
      </c>
      <c r="J2193" s="20" t="s">
        <v>2846</v>
      </c>
      <c r="K2193" s="20" t="str">
        <f>VLOOKUP(H2193,[1]媒体表!C:T,18,0)</f>
        <v>北京多彩</v>
      </c>
      <c r="L2193" s="51" t="s">
        <v>2847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</v>
      </c>
      <c r="V2193" s="45">
        <f t="shared" si="248"/>
        <v>533658.63</v>
      </c>
      <c r="W2193" s="32">
        <f t="shared" si="249"/>
        <v>1116341.37</v>
      </c>
      <c r="X2193" s="32"/>
      <c r="Y2193" s="32">
        <f t="shared" si="244"/>
        <v>1116341.37</v>
      </c>
      <c r="Z2193" s="55">
        <f t="shared" si="245"/>
        <v>0</v>
      </c>
      <c r="AA2193" s="45">
        <f t="shared" ref="AA2193:AA2225" si="250">U2193</f>
        <v>1116341.37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ht="14.25" spans="1:34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1688</v>
      </c>
      <c r="F2194" s="51" t="s">
        <v>2843</v>
      </c>
      <c r="G2194" s="51" t="s">
        <v>1688</v>
      </c>
      <c r="H2194" s="51" t="s">
        <v>2844</v>
      </c>
      <c r="I2194" s="20" t="s">
        <v>2845</v>
      </c>
      <c r="J2194" s="20" t="s">
        <v>2846</v>
      </c>
      <c r="K2194" s="20" t="str">
        <f>VLOOKUP(H2194,[1]媒体表!C:T,18,0)</f>
        <v>北京多彩</v>
      </c>
      <c r="L2194" s="51" t="s">
        <v>2847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46253.28</v>
      </c>
      <c r="T2194" s="45">
        <v>200000</v>
      </c>
      <c r="U2194" s="45">
        <v>147559.58</v>
      </c>
      <c r="V2194" s="45">
        <f t="shared" si="248"/>
        <v>98693.7</v>
      </c>
      <c r="W2194" s="32">
        <f t="shared" si="249"/>
        <v>147559.58</v>
      </c>
      <c r="X2194" s="32"/>
      <c r="Y2194" s="32">
        <f t="shared" si="244"/>
        <v>147559.58</v>
      </c>
      <c r="Z2194" s="55">
        <f t="shared" si="245"/>
        <v>0</v>
      </c>
      <c r="AA2194" s="45">
        <f t="shared" si="250"/>
        <v>147559.58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ht="14.25" spans="1:34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2848</v>
      </c>
      <c r="F2195" s="51" t="s">
        <v>2848</v>
      </c>
      <c r="G2195" s="51" t="s">
        <v>2848</v>
      </c>
      <c r="H2195" s="51" t="s">
        <v>2844</v>
      </c>
      <c r="I2195" s="20" t="s">
        <v>2845</v>
      </c>
      <c r="J2195" s="20" t="s">
        <v>2846</v>
      </c>
      <c r="K2195" s="20" t="str">
        <f>VLOOKUP(H2195,[1]媒体表!C:T,18,0)</f>
        <v>北京多彩</v>
      </c>
      <c r="L2195" s="51" t="s">
        <v>2848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ht="14.25" spans="1:34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2844</v>
      </c>
      <c r="I2196" s="20" t="s">
        <v>2845</v>
      </c>
      <c r="J2196" s="20" t="s">
        <v>2846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ht="14.25" spans="1:34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2849</v>
      </c>
      <c r="G2197" s="51" t="s">
        <v>1234</v>
      </c>
      <c r="H2197" s="51" t="s">
        <v>2844</v>
      </c>
      <c r="I2197" s="20" t="s">
        <v>2845</v>
      </c>
      <c r="J2197" s="20" t="s">
        <v>2846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ht="14.25" spans="1:34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1737</v>
      </c>
      <c r="F2198" s="51" t="s">
        <v>2850</v>
      </c>
      <c r="G2198" s="51" t="s">
        <v>1737</v>
      </c>
      <c r="H2198" s="51" t="s">
        <v>2844</v>
      </c>
      <c r="I2198" s="20" t="s">
        <v>2845</v>
      </c>
      <c r="J2198" s="20" t="s">
        <v>2846</v>
      </c>
      <c r="K2198" s="20" t="str">
        <f>VLOOKUP(H2198,[1]媒体表!C:T,18,0)</f>
        <v>北京多彩</v>
      </c>
      <c r="L2198" s="51" t="s">
        <v>1739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ht="14.25" spans="1:34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1737</v>
      </c>
      <c r="F2199" s="51" t="s">
        <v>2851</v>
      </c>
      <c r="G2199" s="51" t="s">
        <v>1737</v>
      </c>
      <c r="H2199" s="51" t="s">
        <v>2844</v>
      </c>
      <c r="I2199" s="20" t="s">
        <v>2845</v>
      </c>
      <c r="J2199" s="20" t="s">
        <v>2846</v>
      </c>
      <c r="K2199" s="20" t="str">
        <f>VLOOKUP(H2199,[1]媒体表!C:T,18,0)</f>
        <v>北京多彩</v>
      </c>
      <c r="L2199" s="51" t="s">
        <v>1739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</v>
      </c>
      <c r="V2199" s="45">
        <f t="shared" si="248"/>
        <v>20784961.97</v>
      </c>
      <c r="W2199" s="32">
        <f t="shared" si="249"/>
        <v>23215038.03</v>
      </c>
      <c r="X2199" s="32"/>
      <c r="Y2199" s="32">
        <f t="shared" si="244"/>
        <v>23215038.03</v>
      </c>
      <c r="Z2199" s="55">
        <f t="shared" si="245"/>
        <v>0</v>
      </c>
      <c r="AA2199" s="45">
        <f t="shared" si="250"/>
        <v>23215038.03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ht="14.25" spans="1:34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1737</v>
      </c>
      <c r="F2200" s="51" t="s">
        <v>2852</v>
      </c>
      <c r="G2200" s="51" t="s">
        <v>1737</v>
      </c>
      <c r="H2200" s="51" t="s">
        <v>2844</v>
      </c>
      <c r="I2200" s="20" t="s">
        <v>2845</v>
      </c>
      <c r="J2200" s="20" t="s">
        <v>2846</v>
      </c>
      <c r="K2200" s="20" t="str">
        <f>VLOOKUP(H2200,[1]媒体表!C:T,18,0)</f>
        <v>北京多彩</v>
      </c>
      <c r="L2200" s="51" t="s">
        <v>1739</v>
      </c>
      <c r="M2200" s="51"/>
      <c r="N2200" s="51" t="s">
        <v>110</v>
      </c>
      <c r="O2200" s="51" t="s">
        <v>82</v>
      </c>
      <c r="P2200" s="52">
        <v>0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358993.2</v>
      </c>
      <c r="X2200" s="32"/>
      <c r="Y2200" s="32">
        <f t="shared" si="244"/>
        <v>358993.2</v>
      </c>
      <c r="Z2200" s="55">
        <f t="shared" si="245"/>
        <v>0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ht="14.25" spans="1:34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2844</v>
      </c>
      <c r="I2201" s="20" t="s">
        <v>2845</v>
      </c>
      <c r="J2201" s="20" t="s">
        <v>2846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</v>
      </c>
      <c r="T2201" s="45">
        <v>1500000</v>
      </c>
      <c r="U2201" s="45">
        <v>943109.08</v>
      </c>
      <c r="V2201" s="45">
        <f t="shared" si="248"/>
        <v>1175523.97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ht="14.25" spans="1:34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2844</v>
      </c>
      <c r="I2202" s="20" t="s">
        <v>2845</v>
      </c>
      <c r="J2202" s="20" t="s">
        <v>2846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131501.1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ht="14.25" spans="1:34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2853</v>
      </c>
      <c r="F2203" s="51" t="s">
        <v>2853</v>
      </c>
      <c r="G2203" s="51" t="s">
        <v>2853</v>
      </c>
      <c r="H2203" s="51" t="s">
        <v>2844</v>
      </c>
      <c r="I2203" s="20" t="s">
        <v>2845</v>
      </c>
      <c r="J2203" s="20" t="s">
        <v>2846</v>
      </c>
      <c r="K2203" s="20" t="str">
        <f>VLOOKUP(H2203,[1]媒体表!C:T,18,0)</f>
        <v>北京多彩</v>
      </c>
      <c r="L2203" s="51" t="s">
        <v>2853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ht="14.25" spans="1:34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2854</v>
      </c>
      <c r="F2204" s="51" t="s">
        <v>2855</v>
      </c>
      <c r="G2204" s="51" t="s">
        <v>2854</v>
      </c>
      <c r="H2204" s="51" t="s">
        <v>2844</v>
      </c>
      <c r="I2204" s="20" t="s">
        <v>2845</v>
      </c>
      <c r="J2204" s="20" t="s">
        <v>2846</v>
      </c>
      <c r="K2204" s="20" t="str">
        <f>VLOOKUP(H2204,[1]媒体表!C:T,18,0)</f>
        <v>北京多彩</v>
      </c>
      <c r="L2204" s="51" t="s">
        <v>2856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ht="14.25" spans="1:34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2857</v>
      </c>
      <c r="G2205" s="51" t="s">
        <v>544</v>
      </c>
      <c r="H2205" s="51" t="s">
        <v>2844</v>
      </c>
      <c r="I2205" s="20" t="s">
        <v>2845</v>
      </c>
      <c r="J2205" s="20" t="s">
        <v>2846</v>
      </c>
      <c r="K2205" s="20" t="str">
        <f>VLOOKUP(H2205,[1]媒体表!C:T,18,0)</f>
        <v>北京多彩</v>
      </c>
      <c r="L2205" s="51" t="s">
        <v>1742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ht="14.25" spans="1:34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1751</v>
      </c>
      <c r="F2206" s="51" t="s">
        <v>2858</v>
      </c>
      <c r="G2206" s="51" t="s">
        <v>1751</v>
      </c>
      <c r="H2206" s="51" t="s">
        <v>2844</v>
      </c>
      <c r="I2206" s="20" t="s">
        <v>2845</v>
      </c>
      <c r="J2206" s="20" t="s">
        <v>2846</v>
      </c>
      <c r="K2206" s="20" t="str">
        <f>VLOOKUP(H2206,[1]媒体表!C:T,18,0)</f>
        <v>北京多彩</v>
      </c>
      <c r="L2206" s="51" t="s">
        <v>2859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54">
        <v>74750.54</v>
      </c>
      <c r="V2206" s="45">
        <f t="shared" si="248"/>
        <v>59649.46</v>
      </c>
      <c r="W2206" s="32">
        <f t="shared" si="249"/>
        <v>74750.54</v>
      </c>
      <c r="X2206" s="32"/>
      <c r="Y2206" s="32">
        <f t="shared" si="244"/>
        <v>74750.54</v>
      </c>
      <c r="Z2206" s="55">
        <f t="shared" si="245"/>
        <v>0</v>
      </c>
      <c r="AA2206" s="45">
        <f t="shared" si="250"/>
        <v>74750.54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ht="14.25" spans="1:34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1751</v>
      </c>
      <c r="F2207" s="51" t="s">
        <v>2858</v>
      </c>
      <c r="G2207" s="51" t="s">
        <v>1751</v>
      </c>
      <c r="H2207" s="51" t="s">
        <v>2844</v>
      </c>
      <c r="I2207" s="20" t="s">
        <v>2845</v>
      </c>
      <c r="J2207" s="20" t="s">
        <v>2846</v>
      </c>
      <c r="K2207" s="20" t="str">
        <f>VLOOKUP(H2207,[1]媒体表!C:T,18,0)</f>
        <v>北京多彩</v>
      </c>
      <c r="L2207" s="51" t="s">
        <v>1753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54">
        <v>1034922.33</v>
      </c>
      <c r="V2207" s="45">
        <f t="shared" si="248"/>
        <v>543077.67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ht="14.25" spans="1:34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1751</v>
      </c>
      <c r="F2208" s="51" t="s">
        <v>2858</v>
      </c>
      <c r="G2208" s="51" t="s">
        <v>1751</v>
      </c>
      <c r="H2208" s="51" t="s">
        <v>2844</v>
      </c>
      <c r="I2208" s="20" t="s">
        <v>2845</v>
      </c>
      <c r="J2208" s="20" t="s">
        <v>2846</v>
      </c>
      <c r="K2208" s="20" t="str">
        <f>VLOOKUP(H2208,[1]媒体表!C:T,18,0)</f>
        <v>北京多彩</v>
      </c>
      <c r="L2208" s="51" t="s">
        <v>1753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54">
        <v>975750.42</v>
      </c>
      <c r="V2208" s="45">
        <f t="shared" si="248"/>
        <v>944249.58</v>
      </c>
      <c r="W2208" s="32">
        <f t="shared" si="249"/>
        <v>975750.42</v>
      </c>
      <c r="X2208" s="32"/>
      <c r="Y2208" s="32">
        <f t="shared" si="244"/>
        <v>975750.42</v>
      </c>
      <c r="Z2208" s="55">
        <f t="shared" si="245"/>
        <v>0</v>
      </c>
      <c r="AA2208" s="45">
        <f t="shared" si="250"/>
        <v>975750.42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ht="14.25" spans="1:34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2860</v>
      </c>
      <c r="F2209" s="51" t="s">
        <v>2861</v>
      </c>
      <c r="G2209" s="51" t="s">
        <v>2860</v>
      </c>
      <c r="H2209" s="51" t="s">
        <v>2844</v>
      </c>
      <c r="I2209" s="20" t="s">
        <v>2845</v>
      </c>
      <c r="J2209" s="20" t="s">
        <v>2846</v>
      </c>
      <c r="K2209" s="20" t="str">
        <f>VLOOKUP(H2209,[1]媒体表!C:T,18,0)</f>
        <v>北京多彩</v>
      </c>
      <c r="L2209" s="51" t="s">
        <v>1747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54">
        <v>8201340.08</v>
      </c>
      <c r="V2209" s="45">
        <f t="shared" si="248"/>
        <v>5418659.92</v>
      </c>
      <c r="W2209" s="32">
        <f t="shared" si="249"/>
        <v>8201340.08</v>
      </c>
      <c r="X2209" s="32"/>
      <c r="Y2209" s="32">
        <f t="shared" si="244"/>
        <v>8201340.08</v>
      </c>
      <c r="Z2209" s="55">
        <f t="shared" si="245"/>
        <v>0</v>
      </c>
      <c r="AA2209" s="45">
        <f t="shared" si="250"/>
        <v>8201340.08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ht="14.25" spans="1:34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2860</v>
      </c>
      <c r="F2210" s="51" t="s">
        <v>2861</v>
      </c>
      <c r="G2210" s="51" t="s">
        <v>2860</v>
      </c>
      <c r="H2210" s="51" t="s">
        <v>2844</v>
      </c>
      <c r="I2210" s="20" t="s">
        <v>2845</v>
      </c>
      <c r="J2210" s="20" t="s">
        <v>2846</v>
      </c>
      <c r="K2210" s="20" t="str">
        <f>VLOOKUP(H2210,[1]媒体表!C:T,18,0)</f>
        <v>北京多彩</v>
      </c>
      <c r="L2210" s="51" t="s">
        <v>1747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54">
        <v>5451648.64</v>
      </c>
      <c r="V2210" s="45">
        <f t="shared" si="248"/>
        <v>2578351.36</v>
      </c>
      <c r="W2210" s="32">
        <f t="shared" ref="W2210:W2225" si="251">U2210*(1+AG2210)/(1+AG2210+P2210)</f>
        <v>5451648.64</v>
      </c>
      <c r="X2210" s="32"/>
      <c r="Y2210" s="32">
        <f t="shared" si="244"/>
        <v>5451648.64</v>
      </c>
      <c r="Z2210" s="55">
        <f t="shared" si="245"/>
        <v>0</v>
      </c>
      <c r="AA2210" s="45">
        <f t="shared" si="250"/>
        <v>5451648.64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ht="14.25" spans="1:34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2844</v>
      </c>
      <c r="I2211" s="20" t="s">
        <v>2845</v>
      </c>
      <c r="J2211" s="20" t="s">
        <v>2846</v>
      </c>
      <c r="K2211" s="20" t="str">
        <f>VLOOKUP(H2211,[1]媒体表!C:T,18,0)</f>
        <v>北京多彩</v>
      </c>
      <c r="L2211" s="51" t="s">
        <v>2862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5473.90000000001</v>
      </c>
      <c r="T2211" s="45">
        <v>170000</v>
      </c>
      <c r="U2211" s="45">
        <v>82079.36</v>
      </c>
      <c r="V2211" s="45">
        <f t="shared" si="248"/>
        <v>93394.54</v>
      </c>
      <c r="W2211" s="32">
        <f t="shared" si="251"/>
        <v>82079.36</v>
      </c>
      <c r="X2211" s="32"/>
      <c r="Y2211" s="32">
        <f t="shared" si="244"/>
        <v>82079.36</v>
      </c>
      <c r="Z2211" s="55">
        <f t="shared" si="245"/>
        <v>0</v>
      </c>
      <c r="AA2211" s="45">
        <f t="shared" si="250"/>
        <v>82079.36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ht="14.25" spans="1:34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1749</v>
      </c>
      <c r="F2212" s="51" t="s">
        <v>1749</v>
      </c>
      <c r="G2212" s="51" t="s">
        <v>1749</v>
      </c>
      <c r="H2212" s="51" t="s">
        <v>2844</v>
      </c>
      <c r="I2212" s="20" t="s">
        <v>2845</v>
      </c>
      <c r="J2212" s="20" t="s">
        <v>2846</v>
      </c>
      <c r="K2212" s="20" t="str">
        <f>VLOOKUP(H2212,[1]媒体表!C:T,18,0)</f>
        <v>北京多彩</v>
      </c>
      <c r="L2212" s="51" t="s">
        <v>1749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164070.33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ht="14.25" spans="1:34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1749</v>
      </c>
      <c r="F2213" s="51" t="s">
        <v>1749</v>
      </c>
      <c r="G2213" s="51" t="s">
        <v>1749</v>
      </c>
      <c r="H2213" s="51" t="s">
        <v>2844</v>
      </c>
      <c r="I2213" s="20" t="s">
        <v>2845</v>
      </c>
      <c r="J2213" s="20" t="s">
        <v>2846</v>
      </c>
      <c r="K2213" s="20" t="str">
        <f>VLOOKUP(H2213,[1]媒体表!C:T,18,0)</f>
        <v>北京多彩</v>
      </c>
      <c r="L2213" s="51" t="s">
        <v>1749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ht="14.25" spans="1:34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2863</v>
      </c>
      <c r="F2214" s="51" t="s">
        <v>2864</v>
      </c>
      <c r="G2214" s="51" t="s">
        <v>2863</v>
      </c>
      <c r="H2214" s="51" t="s">
        <v>2844</v>
      </c>
      <c r="I2214" s="20" t="s">
        <v>2845</v>
      </c>
      <c r="J2214" s="20" t="s">
        <v>2846</v>
      </c>
      <c r="K2214" s="20" t="str">
        <f>VLOOKUP(H2214,[1]媒体表!C:T,18,0)</f>
        <v>北京多彩</v>
      </c>
      <c r="L2214" s="51" t="s">
        <v>2865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ht="14.25" spans="1:34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2863</v>
      </c>
      <c r="F2215" s="51" t="s">
        <v>2864</v>
      </c>
      <c r="G2215" s="51" t="s">
        <v>2863</v>
      </c>
      <c r="H2215" s="51" t="s">
        <v>2844</v>
      </c>
      <c r="I2215" s="20" t="s">
        <v>2845</v>
      </c>
      <c r="J2215" s="20" t="s">
        <v>2846</v>
      </c>
      <c r="K2215" s="20" t="str">
        <f>VLOOKUP(H2215,[1]媒体表!C:T,18,0)</f>
        <v>北京多彩</v>
      </c>
      <c r="L2215" s="51" t="s">
        <v>2865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74204.5900000001</v>
      </c>
      <c r="T2215" s="45">
        <v>200000</v>
      </c>
      <c r="U2215" s="45">
        <v>233016.93</v>
      </c>
      <c r="V2215" s="45">
        <f t="shared" si="248"/>
        <v>41187.6600000001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ht="14.25" spans="1:34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2844</v>
      </c>
      <c r="I2216" s="20" t="s">
        <v>2845</v>
      </c>
      <c r="J2216" s="20" t="s">
        <v>2846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ht="14.25" spans="1:34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2866</v>
      </c>
      <c r="F2217" s="51" t="s">
        <v>2866</v>
      </c>
      <c r="G2217" s="51" t="s">
        <v>2866</v>
      </c>
      <c r="H2217" s="51" t="s">
        <v>2844</v>
      </c>
      <c r="I2217" s="20" t="s">
        <v>2845</v>
      </c>
      <c r="J2217" s="20" t="s">
        <v>2846</v>
      </c>
      <c r="K2217" s="20" t="str">
        <f>VLOOKUP(H2217,[1]媒体表!C:T,18,0)</f>
        <v>北京多彩</v>
      </c>
      <c r="L2217" s="51" t="s">
        <v>2867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ht="14.25" spans="1:34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2844</v>
      </c>
      <c r="I2218" s="20" t="s">
        <v>2845</v>
      </c>
      <c r="J2218" s="20" t="s">
        <v>2846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ht="14.25" spans="1:34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2868</v>
      </c>
      <c r="F2219" s="51" t="s">
        <v>2868</v>
      </c>
      <c r="G2219" s="51" t="s">
        <v>2868</v>
      </c>
      <c r="H2219" s="51" t="s">
        <v>2844</v>
      </c>
      <c r="I2219" s="20" t="s">
        <v>2845</v>
      </c>
      <c r="J2219" s="20" t="s">
        <v>2846</v>
      </c>
      <c r="K2219" s="20" t="str">
        <f>VLOOKUP(H2219,[1]媒体表!C:T,18,0)</f>
        <v>北京多彩</v>
      </c>
      <c r="L2219" s="51" t="s">
        <v>2868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ht="14.25" spans="1:34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2844</v>
      </c>
      <c r="I2220" s="20" t="s">
        <v>2845</v>
      </c>
      <c r="J2220" s="20" t="s">
        <v>2846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988080.88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ht="14.25" spans="1:34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2844</v>
      </c>
      <c r="I2221" s="20" t="s">
        <v>2845</v>
      </c>
      <c r="J2221" s="20" t="s">
        <v>2846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ht="14.25" spans="1:34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2869</v>
      </c>
      <c r="F2222" s="51" t="s">
        <v>2869</v>
      </c>
      <c r="G2222" s="51" t="s">
        <v>2869</v>
      </c>
      <c r="H2222" s="51" t="s">
        <v>2844</v>
      </c>
      <c r="I2222" s="20" t="s">
        <v>2845</v>
      </c>
      <c r="J2222" s="20" t="s">
        <v>2846</v>
      </c>
      <c r="K2222" s="20" t="str">
        <f>VLOOKUP(H2222,[1]媒体表!C:T,18,0)</f>
        <v>北京多彩</v>
      </c>
      <c r="L2222" s="51" t="s">
        <v>1801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</v>
      </c>
      <c r="V2222" s="45">
        <f t="shared" si="248"/>
        <v>99173.52</v>
      </c>
      <c r="W2222" s="32">
        <f t="shared" si="251"/>
        <v>826.48000000001</v>
      </c>
      <c r="X2222" s="32"/>
      <c r="Y2222" s="32">
        <f t="shared" si="244"/>
        <v>826.48000000001</v>
      </c>
      <c r="Z2222" s="55">
        <f t="shared" si="245"/>
        <v>0</v>
      </c>
      <c r="AA2222" s="45">
        <f t="shared" si="250"/>
        <v>826.48000000001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ht="14.25" spans="1:34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2869</v>
      </c>
      <c r="F2223" s="51" t="s">
        <v>2869</v>
      </c>
      <c r="G2223" s="51" t="s">
        <v>2869</v>
      </c>
      <c r="H2223" s="51" t="s">
        <v>2844</v>
      </c>
      <c r="I2223" s="20" t="s">
        <v>2845</v>
      </c>
      <c r="J2223" s="20" t="s">
        <v>2846</v>
      </c>
      <c r="K2223" s="20" t="str">
        <f>VLOOKUP(H2223,[1]媒体表!C:T,18,0)</f>
        <v>北京多彩</v>
      </c>
      <c r="L2223" s="51" t="s">
        <v>1801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ht="14.25" spans="1:34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2844</v>
      </c>
      <c r="I2224" s="20" t="s">
        <v>2845</v>
      </c>
      <c r="J2224" s="20" t="s">
        <v>2846</v>
      </c>
      <c r="K2224" s="20" t="str">
        <f>VLOOKUP(H2224,[1]媒体表!C:T,18,0)</f>
        <v>北京多彩</v>
      </c>
      <c r="L2224" s="51" t="s">
        <v>2870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486107.31</v>
      </c>
      <c r="X2224" s="32"/>
      <c r="Y2224" s="32">
        <f t="shared" si="244"/>
        <v>486107.31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ht="14.25" spans="1:34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2844</v>
      </c>
      <c r="I2225" s="20" t="s">
        <v>2845</v>
      </c>
      <c r="J2225" s="20" t="s">
        <v>2846</v>
      </c>
      <c r="K2225" s="20" t="str">
        <f>VLOOKUP(H2225,[1]媒体表!C:T,18,0)</f>
        <v>北京多彩</v>
      </c>
      <c r="L2225" s="51" t="s">
        <v>2870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631410.19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ht="14.25" spans="1:34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1667</v>
      </c>
      <c r="F2226" s="51" t="s">
        <v>2871</v>
      </c>
      <c r="G2226" s="51" t="s">
        <v>1667</v>
      </c>
      <c r="H2226" s="51" t="s">
        <v>2844</v>
      </c>
      <c r="I2226" s="20" t="s">
        <v>2845</v>
      </c>
      <c r="J2226" s="20" t="s">
        <v>2846</v>
      </c>
      <c r="K2226" s="20" t="str">
        <f>VLOOKUP(H2226,[1]媒体表!C:T,18,0)</f>
        <v>北京多彩</v>
      </c>
      <c r="L2226" s="51" t="s">
        <v>1668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2872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ht="14.25" spans="1:34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2844</v>
      </c>
      <c r="I2227" s="20" t="s">
        <v>2845</v>
      </c>
      <c r="J2227" s="20" t="s">
        <v>2846</v>
      </c>
      <c r="K2227" s="20" t="str">
        <f>VLOOKUP(H2227,[1]媒体表!C:T,18,0)</f>
        <v>北京多彩</v>
      </c>
      <c r="L2227" s="51" t="s">
        <v>2873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54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ht="14.25" spans="1:34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1892</v>
      </c>
      <c r="F2228" s="51" t="s">
        <v>1893</v>
      </c>
      <c r="G2228" s="51" t="s">
        <v>1892</v>
      </c>
      <c r="H2228" s="51" t="s">
        <v>2844</v>
      </c>
      <c r="I2228" s="20" t="s">
        <v>2845</v>
      </c>
      <c r="J2228" s="20" t="s">
        <v>2846</v>
      </c>
      <c r="K2228" s="20" t="str">
        <f>VLOOKUP(H2228,[1]媒体表!C:T,18,0)</f>
        <v>北京多彩</v>
      </c>
      <c r="L2228" s="51" t="s">
        <v>1892</v>
      </c>
      <c r="M2228" s="51"/>
      <c r="N2228" s="51" t="s">
        <v>59</v>
      </c>
      <c r="O2228" s="51" t="s">
        <v>82</v>
      </c>
      <c r="P2228" s="52">
        <v>0</v>
      </c>
      <c r="Q2228" s="53"/>
      <c r="R2228" s="51"/>
      <c r="S2228" s="45">
        <v>0</v>
      </c>
      <c r="T2228" s="45">
        <v>2479032.26</v>
      </c>
      <c r="U2228" s="54">
        <v>367153.179999999</v>
      </c>
      <c r="V2228" s="45">
        <f t="shared" si="248"/>
        <v>2111879.08</v>
      </c>
      <c r="W2228" s="32">
        <f t="shared" si="252"/>
        <v>367153.179999999</v>
      </c>
      <c r="X2228" s="32"/>
      <c r="Y2228" s="32">
        <f t="shared" si="244"/>
        <v>367153.179999999</v>
      </c>
      <c r="Z2228" s="55">
        <f t="shared" si="245"/>
        <v>0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0.16</v>
      </c>
      <c r="AH2228" s="38" t="e">
        <v>#N/A</v>
      </c>
    </row>
    <row r="2229" ht="14.25" spans="1:34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2874</v>
      </c>
      <c r="F2229" s="51" t="s">
        <v>2874</v>
      </c>
      <c r="G2229" s="51" t="s">
        <v>2874</v>
      </c>
      <c r="H2229" s="51" t="s">
        <v>2844</v>
      </c>
      <c r="I2229" s="20" t="s">
        <v>2845</v>
      </c>
      <c r="J2229" s="20" t="s">
        <v>2846</v>
      </c>
      <c r="K2229" s="20" t="str">
        <f>VLOOKUP(H2229,[1]媒体表!C:T,18,0)</f>
        <v>北京多彩</v>
      </c>
      <c r="L2229" s="51" t="s">
        <v>2875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0.07</v>
      </c>
      <c r="AH2229" s="38" t="e">
        <v>#N/A</v>
      </c>
    </row>
    <row r="2230" ht="14.25" spans="1:34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2876</v>
      </c>
      <c r="F2230" s="51" t="s">
        <v>2876</v>
      </c>
      <c r="G2230" s="51" t="s">
        <v>2876</v>
      </c>
      <c r="H2230" s="51" t="s">
        <v>2844</v>
      </c>
      <c r="I2230" s="20" t="s">
        <v>2845</v>
      </c>
      <c r="J2230" s="20" t="s">
        <v>2846</v>
      </c>
      <c r="K2230" s="20" t="str">
        <f>VLOOKUP(H2230,[1]媒体表!C:T,18,0)</f>
        <v>北京多彩</v>
      </c>
      <c r="L2230" s="51" t="s">
        <v>2877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77417.15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</v>
      </c>
      <c r="AA2230" s="45">
        <f t="shared" si="253"/>
        <v>77417.15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ht="14.25" spans="1:34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2844</v>
      </c>
      <c r="I2231" s="20" t="s">
        <v>2845</v>
      </c>
      <c r="J2231" s="20" t="s">
        <v>2846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</v>
      </c>
      <c r="W2231" s="32">
        <f t="shared" ref="W2231:W2244" si="254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ht="14.25" spans="1:34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2844</v>
      </c>
      <c r="I2232" s="20" t="s">
        <v>2845</v>
      </c>
      <c r="J2232" s="20" t="s">
        <v>2846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4"/>
        <v>0</v>
      </c>
      <c r="X2232" s="32"/>
      <c r="Y2232" s="32">
        <f t="shared" ref="Y2232:Y2295" si="255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ht="14.25" spans="1:34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2844</v>
      </c>
      <c r="I2233" s="20" t="s">
        <v>2845</v>
      </c>
      <c r="J2233" s="20" t="s">
        <v>2846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0.17</v>
      </c>
      <c r="Q2233" s="53"/>
      <c r="R2233" s="51"/>
      <c r="S2233" s="45">
        <v>599305.11</v>
      </c>
      <c r="T2233" s="45">
        <v>0</v>
      </c>
      <c r="U2233" s="45">
        <v>0</v>
      </c>
      <c r="V2233" s="45">
        <f t="shared" si="248"/>
        <v>599305.11</v>
      </c>
      <c r="W2233" s="32">
        <f t="shared" si="254"/>
        <v>0</v>
      </c>
      <c r="X2233" s="32"/>
      <c r="Y2233" s="32">
        <f t="shared" si="255"/>
        <v>0</v>
      </c>
      <c r="Z2233" s="55">
        <f t="shared" si="245"/>
        <v>0</v>
      </c>
      <c r="AA2233" s="45">
        <f t="shared" si="253"/>
        <v>0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ht="14.25" spans="1:34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2844</v>
      </c>
      <c r="I2234" s="20" t="s">
        <v>2845</v>
      </c>
      <c r="J2234" s="20" t="s">
        <v>2846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1586035.87</v>
      </c>
      <c r="T2234" s="45">
        <v>331914.89</v>
      </c>
      <c r="U2234" s="45">
        <v>1098445.21</v>
      </c>
      <c r="V2234" s="45">
        <f t="shared" si="248"/>
        <v>819505.55</v>
      </c>
      <c r="W2234" s="32">
        <f t="shared" si="254"/>
        <v>992825.478269231</v>
      </c>
      <c r="X2234" s="32"/>
      <c r="Y2234" s="32">
        <f t="shared" si="255"/>
        <v>992825.478269231</v>
      </c>
      <c r="Z2234" s="55">
        <f t="shared" ref="Z2234:Z2244" si="256">U2234-W2234</f>
        <v>105619.731730769</v>
      </c>
      <c r="AA2234" s="45">
        <f t="shared" si="253"/>
        <v>1098445.21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ht="14.25" spans="1:34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2878</v>
      </c>
      <c r="F2235" s="51" t="s">
        <v>2878</v>
      </c>
      <c r="G2235" s="51" t="s">
        <v>2878</v>
      </c>
      <c r="H2235" s="51" t="s">
        <v>2844</v>
      </c>
      <c r="I2235" s="20" t="s">
        <v>2845</v>
      </c>
      <c r="J2235" s="20" t="s">
        <v>2846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-42553.19</v>
      </c>
      <c r="U2235" s="45">
        <v>-42553.19</v>
      </c>
      <c r="V2235" s="45">
        <f t="shared" si="248"/>
        <v>0</v>
      </c>
      <c r="W2235" s="32">
        <f t="shared" si="254"/>
        <v>-42553.19</v>
      </c>
      <c r="X2235" s="32"/>
      <c r="Y2235" s="32">
        <f t="shared" si="255"/>
        <v>-42553.19</v>
      </c>
      <c r="Z2235" s="55">
        <f t="shared" si="256"/>
        <v>0</v>
      </c>
      <c r="AA2235" s="45">
        <f t="shared" si="253"/>
        <v>-42553.19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ht="14.25" spans="1:34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1541</v>
      </c>
      <c r="G2236" s="51" t="s">
        <v>1541</v>
      </c>
      <c r="H2236" s="51" t="s">
        <v>2844</v>
      </c>
      <c r="I2236" s="20" t="s">
        <v>2845</v>
      </c>
      <c r="J2236" s="20" t="s">
        <v>2846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1" t="s">
        <v>43</v>
      </c>
      <c r="P2236" s="52">
        <v>0.03</v>
      </c>
      <c r="Q2236" s="53"/>
      <c r="R2236" s="51"/>
      <c r="S2236" s="45">
        <v>39021.85</v>
      </c>
      <c r="T2236" s="45">
        <v>-22560.27</v>
      </c>
      <c r="U2236" s="54">
        <v>14058.25</v>
      </c>
      <c r="V2236" s="45">
        <f t="shared" si="248"/>
        <v>2403.33</v>
      </c>
      <c r="W2236" s="32">
        <f t="shared" si="254"/>
        <v>13757.0017857143</v>
      </c>
      <c r="X2236" s="32"/>
      <c r="Y2236" s="32">
        <f t="shared" si="255"/>
        <v>13757.0017857143</v>
      </c>
      <c r="Z2236" s="55">
        <f t="shared" si="256"/>
        <v>301.248214285715</v>
      </c>
      <c r="AA2236" s="45">
        <f t="shared" si="253"/>
        <v>14058.25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ht="14.25" spans="1:34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2879</v>
      </c>
      <c r="F2237" s="51" t="s">
        <v>2879</v>
      </c>
      <c r="G2237" s="51" t="s">
        <v>2879</v>
      </c>
      <c r="H2237" s="51" t="s">
        <v>2844</v>
      </c>
      <c r="I2237" s="20" t="s">
        <v>2845</v>
      </c>
      <c r="J2237" s="20" t="s">
        <v>2846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45">
        <v>63260.75</v>
      </c>
      <c r="T2237" s="45">
        <v>51418.44</v>
      </c>
      <c r="U2237" s="54">
        <v>70523.34</v>
      </c>
      <c r="V2237" s="45">
        <f t="shared" si="248"/>
        <v>44155.85</v>
      </c>
      <c r="W2237" s="32">
        <f t="shared" si="254"/>
        <v>68577.8685517241</v>
      </c>
      <c r="X2237" s="32"/>
      <c r="Y2237" s="32">
        <f t="shared" si="255"/>
        <v>68577.8685517241</v>
      </c>
      <c r="Z2237" s="55">
        <f t="shared" si="256"/>
        <v>1945.47144827586</v>
      </c>
      <c r="AA2237" s="45">
        <f t="shared" si="253"/>
        <v>70523.34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ht="14.25" spans="1:34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2844</v>
      </c>
      <c r="I2238" s="20" t="s">
        <v>2845</v>
      </c>
      <c r="J2238" s="20" t="s">
        <v>2846</v>
      </c>
      <c r="K2238" s="20" t="str">
        <f>VLOOKUP(H2238,[1]媒体表!C:T,18,0)</f>
        <v>北京多彩</v>
      </c>
      <c r="L2238" s="51" t="s">
        <v>2880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529780.82</v>
      </c>
      <c r="T2238" s="45">
        <v>-21832.57</v>
      </c>
      <c r="U2238" s="45">
        <v>342083.41</v>
      </c>
      <c r="V2238" s="45">
        <f t="shared" si="248"/>
        <v>165864.84</v>
      </c>
      <c r="W2238" s="32">
        <f t="shared" si="254"/>
        <v>316102.391518987</v>
      </c>
      <c r="X2238" s="32"/>
      <c r="Y2238" s="32">
        <f t="shared" si="255"/>
        <v>316102.391518987</v>
      </c>
      <c r="Z2238" s="55">
        <f t="shared" si="256"/>
        <v>25981.0184810127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ht="14.25" spans="1:34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2844</v>
      </c>
      <c r="I2239" s="20" t="s">
        <v>2845</v>
      </c>
      <c r="J2239" s="20" t="s">
        <v>2846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13000000</v>
      </c>
      <c r="U2239" s="45">
        <v>0</v>
      </c>
      <c r="V2239" s="45">
        <f t="shared" si="248"/>
        <v>13000000</v>
      </c>
      <c r="W2239" s="32">
        <f t="shared" si="254"/>
        <v>0</v>
      </c>
      <c r="X2239" s="32"/>
      <c r="Y2239" s="32">
        <f t="shared" si="255"/>
        <v>0</v>
      </c>
      <c r="Z2239" s="55">
        <f t="shared" si="256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ht="14.25" spans="1:34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1598</v>
      </c>
      <c r="F2240" s="51" t="s">
        <v>1598</v>
      </c>
      <c r="G2240" s="51" t="s">
        <v>1598</v>
      </c>
      <c r="H2240" s="51" t="s">
        <v>2844</v>
      </c>
      <c r="I2240" s="20" t="s">
        <v>2845</v>
      </c>
      <c r="J2240" s="20" t="s">
        <v>2846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53375.5</v>
      </c>
      <c r="T2240" s="45">
        <v>-10200.93</v>
      </c>
      <c r="U2240" s="45">
        <v>0</v>
      </c>
      <c r="V2240" s="45">
        <f t="shared" si="248"/>
        <v>43174.57</v>
      </c>
      <c r="W2240" s="32">
        <f t="shared" si="254"/>
        <v>0</v>
      </c>
      <c r="X2240" s="32"/>
      <c r="Y2240" s="32">
        <f t="shared" si="255"/>
        <v>0</v>
      </c>
      <c r="Z2240" s="55">
        <f t="shared" si="256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ht="14.25" spans="1:34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1602</v>
      </c>
      <c r="F2241" s="51" t="s">
        <v>1602</v>
      </c>
      <c r="G2241" s="51" t="s">
        <v>1602</v>
      </c>
      <c r="H2241" s="51" t="s">
        <v>2844</v>
      </c>
      <c r="I2241" s="20" t="s">
        <v>2845</v>
      </c>
      <c r="J2241" s="20" t="s">
        <v>2846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3031493.31</v>
      </c>
      <c r="U2241" s="45">
        <v>0</v>
      </c>
      <c r="V2241" s="45">
        <f t="shared" si="248"/>
        <v>3031493.31</v>
      </c>
      <c r="W2241" s="32">
        <f t="shared" si="254"/>
        <v>0</v>
      </c>
      <c r="X2241" s="32"/>
      <c r="Y2241" s="32">
        <f t="shared" si="255"/>
        <v>0</v>
      </c>
      <c r="Z2241" s="55">
        <f t="shared" si="256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ht="14.25" spans="1:34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2881</v>
      </c>
      <c r="F2242" s="51" t="s">
        <v>2881</v>
      </c>
      <c r="G2242" s="51" t="s">
        <v>2881</v>
      </c>
      <c r="H2242" s="51" t="s">
        <v>2844</v>
      </c>
      <c r="I2242" s="20" t="s">
        <v>2845</v>
      </c>
      <c r="J2242" s="20" t="s">
        <v>2846</v>
      </c>
      <c r="K2242" s="20" t="str">
        <f>VLOOKUP(H2242,[1]媒体表!C:T,18,0)</f>
        <v>北京多彩</v>
      </c>
      <c r="L2242" s="52" t="s">
        <v>2881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4"/>
        <v>0</v>
      </c>
      <c r="X2242" s="32"/>
      <c r="Y2242" s="32">
        <f t="shared" si="255"/>
        <v>0</v>
      </c>
      <c r="Z2242" s="55">
        <f t="shared" si="256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ht="14.25" spans="1:34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2882</v>
      </c>
      <c r="F2243" s="51" t="s">
        <v>2883</v>
      </c>
      <c r="G2243" s="51" t="s">
        <v>2882</v>
      </c>
      <c r="H2243" s="51" t="s">
        <v>2844</v>
      </c>
      <c r="I2243" s="20" t="s">
        <v>2845</v>
      </c>
      <c r="J2243" s="20" t="s">
        <v>2846</v>
      </c>
      <c r="K2243" s="20" t="str">
        <f>VLOOKUP(H2243,[1]媒体表!C:T,18,0)</f>
        <v>北京多彩</v>
      </c>
      <c r="L2243" s="52" t="s">
        <v>2884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</v>
      </c>
      <c r="W2243" s="32">
        <f t="shared" si="254"/>
        <v>31553.4230769231</v>
      </c>
      <c r="X2243" s="32"/>
      <c r="Y2243" s="32">
        <f t="shared" si="255"/>
        <v>31553.4230769231</v>
      </c>
      <c r="Z2243" s="55">
        <f t="shared" si="256"/>
        <v>1262.13692307692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ht="14.25" spans="1:34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2882</v>
      </c>
      <c r="F2244" s="51" t="s">
        <v>2885</v>
      </c>
      <c r="G2244" s="51" t="s">
        <v>2882</v>
      </c>
      <c r="H2244" s="51" t="s">
        <v>2844</v>
      </c>
      <c r="I2244" s="20" t="s">
        <v>2845</v>
      </c>
      <c r="J2244" s="20" t="s">
        <v>2846</v>
      </c>
      <c r="K2244" s="20" t="str">
        <f>VLOOKUP(H2244,[1]媒体表!C:T,18,0)</f>
        <v>北京多彩</v>
      </c>
      <c r="L2244" s="52" t="s">
        <v>2886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4"/>
        <v>16333</v>
      </c>
      <c r="X2244" s="32"/>
      <c r="Y2244" s="32">
        <f t="shared" si="255"/>
        <v>16333</v>
      </c>
      <c r="Z2244" s="55">
        <f t="shared" si="256"/>
        <v>653.32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ht="14.25" spans="1:34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2844</v>
      </c>
      <c r="I2245" s="20" t="s">
        <v>2845</v>
      </c>
      <c r="J2245" s="20" t="s">
        <v>2846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43575.0380952381</v>
      </c>
      <c r="X2245" s="32"/>
      <c r="Y2245" s="32">
        <f t="shared" si="255"/>
        <v>43575.0380952381</v>
      </c>
      <c r="Z2245" s="55">
        <f>W2245*P2245</f>
        <v>2178.7519047619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ht="14.25" spans="1:34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1892</v>
      </c>
      <c r="F2246" s="51" t="s">
        <v>1893</v>
      </c>
      <c r="G2246" s="51" t="s">
        <v>1892</v>
      </c>
      <c r="H2246" s="51" t="s">
        <v>2844</v>
      </c>
      <c r="I2246" s="20" t="s">
        <v>2845</v>
      </c>
      <c r="J2246" s="20" t="s">
        <v>2846</v>
      </c>
      <c r="K2246" s="20" t="str">
        <f>VLOOKUP(H2246,[1]媒体表!C:T,18,0)</f>
        <v>北京多彩</v>
      </c>
      <c r="L2246" s="52" t="s">
        <v>1892</v>
      </c>
      <c r="M2246" s="51"/>
      <c r="N2246" s="51" t="s">
        <v>59</v>
      </c>
      <c r="O2246" s="45" t="s">
        <v>43</v>
      </c>
      <c r="P2246" s="52">
        <v>0.2</v>
      </c>
      <c r="Q2246" s="57"/>
      <c r="R2246" s="51"/>
      <c r="S2246" s="45">
        <v>1843045.22</v>
      </c>
      <c r="T2246" s="45"/>
      <c r="U2246" s="54">
        <v>1843045.22</v>
      </c>
      <c r="V2246" s="45">
        <f t="shared" si="248"/>
        <v>0</v>
      </c>
      <c r="W2246" s="32">
        <f>U2246*(1+AG2246)/(1+P2246)</f>
        <v>1904480.06066667</v>
      </c>
      <c r="X2246" s="32"/>
      <c r="Y2246" s="32">
        <f t="shared" si="255"/>
        <v>1904480.06066667</v>
      </c>
      <c r="Z2246" s="55">
        <f t="shared" ref="Z2246:Z2309" si="257">U2246-W2246</f>
        <v>-61434.8406666666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0.24</v>
      </c>
      <c r="AH2246" s="38" t="e">
        <v>#N/A</v>
      </c>
    </row>
    <row r="2247" ht="14.25" spans="1:34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2874</v>
      </c>
      <c r="F2247" s="51" t="s">
        <v>2874</v>
      </c>
      <c r="G2247" s="51" t="s">
        <v>2874</v>
      </c>
      <c r="H2247" s="51" t="s">
        <v>2844</v>
      </c>
      <c r="I2247" s="20" t="s">
        <v>2845</v>
      </c>
      <c r="J2247" s="20" t="s">
        <v>2846</v>
      </c>
      <c r="K2247" s="20" t="str">
        <f>VLOOKUP(H2247,[1]媒体表!C:T,18,0)</f>
        <v>北京多彩</v>
      </c>
      <c r="L2247" s="52" t="s">
        <v>2875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</v>
      </c>
      <c r="V2247" s="45">
        <f t="shared" si="248"/>
        <v>458526.13</v>
      </c>
      <c r="W2247" s="32">
        <f t="shared" ref="W2247:W2310" si="258">U2247*(1+AG2247)/(1+AG2247+P2247)</f>
        <v>71779.2876785714</v>
      </c>
      <c r="X2247" s="32"/>
      <c r="Y2247" s="32">
        <f t="shared" si="255"/>
        <v>71779.2876785714</v>
      </c>
      <c r="Z2247" s="55">
        <f t="shared" si="257"/>
        <v>3354.17232142857</v>
      </c>
      <c r="AA2247" s="45">
        <f t="shared" si="253"/>
        <v>75133.46</v>
      </c>
      <c r="AB2247" s="56">
        <v>0.05</v>
      </c>
      <c r="AC2247" s="51"/>
      <c r="AD2247" s="51"/>
      <c r="AE2247" s="51"/>
      <c r="AF2247" s="51" t="s">
        <v>44</v>
      </c>
      <c r="AG2247" s="56">
        <v>0.07</v>
      </c>
      <c r="AH2247" s="38" t="e">
        <v>#N/A</v>
      </c>
    </row>
    <row r="2248" ht="14.25" spans="1:34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2874</v>
      </c>
      <c r="F2248" s="51" t="s">
        <v>2874</v>
      </c>
      <c r="G2248" s="51" t="s">
        <v>2874</v>
      </c>
      <c r="H2248" s="51" t="s">
        <v>2844</v>
      </c>
      <c r="I2248" s="20" t="s">
        <v>2845</v>
      </c>
      <c r="J2248" s="20" t="s">
        <v>2846</v>
      </c>
      <c r="K2248" s="20" t="str">
        <f>VLOOKUP(H2248,[1]媒体表!C:T,18,0)</f>
        <v>北京多彩</v>
      </c>
      <c r="L2248" s="52" t="s">
        <v>2875</v>
      </c>
      <c r="M2248" s="51"/>
      <c r="N2248" s="51" t="s">
        <v>110</v>
      </c>
      <c r="O2248" s="45" t="s">
        <v>43</v>
      </c>
      <c r="P2248" s="52">
        <v>0.07</v>
      </c>
      <c r="Q2248" s="57"/>
      <c r="R2248" s="51"/>
      <c r="S2248" s="45">
        <v>155339.89</v>
      </c>
      <c r="T2248" s="45"/>
      <c r="U2248" s="45">
        <v>63329.99</v>
      </c>
      <c r="V2248" s="45">
        <f t="shared" si="248"/>
        <v>92009.9</v>
      </c>
      <c r="W2248" s="32">
        <f t="shared" si="258"/>
        <v>59996.8326315789</v>
      </c>
      <c r="X2248" s="32"/>
      <c r="Y2248" s="32">
        <f t="shared" si="255"/>
        <v>59996.8326315789</v>
      </c>
      <c r="Z2248" s="55">
        <f t="shared" si="257"/>
        <v>3333.15736842105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ht="14.25" spans="1:34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1737</v>
      </c>
      <c r="F2249" s="51" t="s">
        <v>2851</v>
      </c>
      <c r="G2249" s="51" t="s">
        <v>1737</v>
      </c>
      <c r="H2249" s="51" t="s">
        <v>2844</v>
      </c>
      <c r="I2249" s="20" t="s">
        <v>2845</v>
      </c>
      <c r="J2249" s="20" t="s">
        <v>2846</v>
      </c>
      <c r="K2249" s="20" t="str">
        <f>VLOOKUP(H2249,[1]媒体表!C:T,18,0)</f>
        <v>北京多彩</v>
      </c>
      <c r="L2249" s="52" t="s">
        <v>1739</v>
      </c>
      <c r="M2249" s="51"/>
      <c r="N2249" s="51" t="s">
        <v>59</v>
      </c>
      <c r="O2249" s="45" t="s">
        <v>43</v>
      </c>
      <c r="P2249" s="52">
        <v>0.0526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58"/>
        <v>4310608.0032987</v>
      </c>
      <c r="X2249" s="32"/>
      <c r="Y2249" s="32">
        <f t="shared" si="255"/>
        <v>4310608.0032987</v>
      </c>
      <c r="Z2249" s="55">
        <f t="shared" si="257"/>
        <v>195463.776701303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ht="14.25" spans="1:34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1737</v>
      </c>
      <c r="F2250" s="51" t="s">
        <v>2852</v>
      </c>
      <c r="G2250" s="51" t="s">
        <v>1737</v>
      </c>
      <c r="H2250" s="51" t="s">
        <v>2844</v>
      </c>
      <c r="I2250" s="20" t="s">
        <v>2845</v>
      </c>
      <c r="J2250" s="20" t="s">
        <v>2846</v>
      </c>
      <c r="K2250" s="20" t="str">
        <f>VLOOKUP(H2250,[1]媒体表!C:T,18,0)</f>
        <v>北京多彩</v>
      </c>
      <c r="L2250" s="52" t="s">
        <v>1739</v>
      </c>
      <c r="M2250" s="51"/>
      <c r="N2250" s="51" t="s">
        <v>110</v>
      </c>
      <c r="O2250" s="45" t="s">
        <v>43</v>
      </c>
      <c r="P2250" s="52">
        <v>0.0526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58"/>
        <v>119907.603382599</v>
      </c>
      <c r="X2250" s="32"/>
      <c r="Y2250" s="32">
        <f t="shared" si="255"/>
        <v>119907.603382599</v>
      </c>
      <c r="Z2250" s="55">
        <f t="shared" si="257"/>
        <v>5005.66661740058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ht="14.25" spans="1:34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2854</v>
      </c>
      <c r="F2251" s="51" t="s">
        <v>2887</v>
      </c>
      <c r="G2251" s="51" t="s">
        <v>2854</v>
      </c>
      <c r="H2251" s="51" t="s">
        <v>2844</v>
      </c>
      <c r="I2251" s="20" t="s">
        <v>2845</v>
      </c>
      <c r="J2251" s="20" t="s">
        <v>2846</v>
      </c>
      <c r="K2251" s="20" t="str">
        <f>VLOOKUP(H2251,[1]媒体表!C:T,18,0)</f>
        <v>北京多彩</v>
      </c>
      <c r="L2251" s="52" t="s">
        <v>2856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20944.2899999999</v>
      </c>
      <c r="T2251" s="45"/>
      <c r="U2251" s="54">
        <v>20944.2899999999</v>
      </c>
      <c r="V2251" s="45">
        <f t="shared" si="248"/>
        <v>0</v>
      </c>
      <c r="W2251" s="32">
        <f t="shared" si="258"/>
        <v>19946.9428571428</v>
      </c>
      <c r="X2251" s="32"/>
      <c r="Y2251" s="32">
        <f t="shared" si="255"/>
        <v>19946.9428571428</v>
      </c>
      <c r="Z2251" s="55">
        <f t="shared" si="257"/>
        <v>997.347142857139</v>
      </c>
      <c r="AA2251" s="45">
        <f t="shared" si="253"/>
        <v>20944.2899999999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ht="14.25" spans="1:34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2888</v>
      </c>
      <c r="G2252" s="51" t="s">
        <v>544</v>
      </c>
      <c r="H2252" s="51" t="s">
        <v>2844</v>
      </c>
      <c r="I2252" s="20" t="s">
        <v>2845</v>
      </c>
      <c r="J2252" s="20" t="s">
        <v>2846</v>
      </c>
      <c r="K2252" s="20" t="str">
        <f>VLOOKUP(H2252,[1]媒体表!C:T,18,0)</f>
        <v>北京多彩</v>
      </c>
      <c r="L2252" s="52" t="s">
        <v>1742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</v>
      </c>
      <c r="T2252" s="45"/>
      <c r="U2252" s="54">
        <v>8286.84000000008</v>
      </c>
      <c r="V2252" s="45">
        <f t="shared" ref="V2252:V2273" si="259">S2252+T2252-U2252</f>
        <v>0</v>
      </c>
      <c r="W2252" s="32">
        <f t="shared" si="258"/>
        <v>7892.22857142865</v>
      </c>
      <c r="X2252" s="32"/>
      <c r="Y2252" s="32">
        <f t="shared" si="255"/>
        <v>7892.22857142865</v>
      </c>
      <c r="Z2252" s="55">
        <f t="shared" si="257"/>
        <v>394.611428571433</v>
      </c>
      <c r="AA2252" s="45">
        <f t="shared" si="253"/>
        <v>8286.84000000008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ht="14.25" spans="1:34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1751</v>
      </c>
      <c r="F2253" s="51" t="s">
        <v>2889</v>
      </c>
      <c r="G2253" s="51" t="s">
        <v>1751</v>
      </c>
      <c r="H2253" s="51" t="s">
        <v>2844</v>
      </c>
      <c r="I2253" s="20" t="s">
        <v>2845</v>
      </c>
      <c r="J2253" s="20" t="s">
        <v>2846</v>
      </c>
      <c r="K2253" s="20" t="str">
        <f>VLOOKUP(H2253,[1]媒体表!C:T,18,0)</f>
        <v>北京多彩</v>
      </c>
      <c r="L2253" s="52" t="s">
        <v>2859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54">
        <v>2423.13</v>
      </c>
      <c r="V2253" s="45">
        <f t="shared" si="259"/>
        <v>0</v>
      </c>
      <c r="W2253" s="32">
        <f t="shared" si="258"/>
        <v>2307.74285714286</v>
      </c>
      <c r="X2253" s="32"/>
      <c r="Y2253" s="32">
        <f t="shared" si="255"/>
        <v>2307.74285714286</v>
      </c>
      <c r="Z2253" s="55">
        <f t="shared" si="257"/>
        <v>115.387142857143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ht="14.25" spans="1:34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1751</v>
      </c>
      <c r="F2254" s="51" t="s">
        <v>2889</v>
      </c>
      <c r="G2254" s="51" t="s">
        <v>1751</v>
      </c>
      <c r="H2254" s="51" t="s">
        <v>2844</v>
      </c>
      <c r="I2254" s="20" t="s">
        <v>2845</v>
      </c>
      <c r="J2254" s="20" t="s">
        <v>2846</v>
      </c>
      <c r="K2254" s="20" t="str">
        <f>VLOOKUP(H2254,[1]媒体表!C:T,18,0)</f>
        <v>北京多彩</v>
      </c>
      <c r="L2254" s="52" t="s">
        <v>1753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54">
        <v>48680.0900000002</v>
      </c>
      <c r="V2254" s="45">
        <f t="shared" si="259"/>
        <v>0</v>
      </c>
      <c r="W2254" s="32">
        <f t="shared" si="258"/>
        <v>46361.9904761907</v>
      </c>
      <c r="X2254" s="32"/>
      <c r="Y2254" s="32">
        <f t="shared" si="255"/>
        <v>46361.9904761907</v>
      </c>
      <c r="Z2254" s="55">
        <f t="shared" si="257"/>
        <v>2318.09952380953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ht="14.25" spans="1:34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1751</v>
      </c>
      <c r="F2255" s="51" t="s">
        <v>2889</v>
      </c>
      <c r="G2255" s="51" t="s">
        <v>1751</v>
      </c>
      <c r="H2255" s="51" t="s">
        <v>2844</v>
      </c>
      <c r="I2255" s="20" t="s">
        <v>2845</v>
      </c>
      <c r="J2255" s="20" t="s">
        <v>2846</v>
      </c>
      <c r="K2255" s="20" t="str">
        <f>VLOOKUP(H2255,[1]媒体表!C:T,18,0)</f>
        <v>北京多彩</v>
      </c>
      <c r="L2255" s="52" t="s">
        <v>1753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</v>
      </c>
      <c r="T2255" s="45"/>
      <c r="U2255" s="54">
        <v>576797.8</v>
      </c>
      <c r="V2255" s="45">
        <f t="shared" si="259"/>
        <v>0</v>
      </c>
      <c r="W2255" s="32">
        <f t="shared" si="258"/>
        <v>549331.238095238</v>
      </c>
      <c r="X2255" s="32"/>
      <c r="Y2255" s="32">
        <f t="shared" si="255"/>
        <v>549331.238095238</v>
      </c>
      <c r="Z2255" s="55">
        <f t="shared" si="257"/>
        <v>27466.5619047619</v>
      </c>
      <c r="AA2255" s="45">
        <f t="shared" si="253"/>
        <v>576797.8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ht="14.25" spans="1:34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2860</v>
      </c>
      <c r="F2256" s="51" t="s">
        <v>2861</v>
      </c>
      <c r="G2256" s="51" t="s">
        <v>2860</v>
      </c>
      <c r="H2256" s="51" t="s">
        <v>2844</v>
      </c>
      <c r="I2256" s="20" t="s">
        <v>2845</v>
      </c>
      <c r="J2256" s="20" t="s">
        <v>2846</v>
      </c>
      <c r="K2256" s="20" t="str">
        <f>VLOOKUP(H2256,[1]媒体表!C:T,18,0)</f>
        <v>北京多彩</v>
      </c>
      <c r="L2256" s="52" t="s">
        <v>1747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54">
        <v>4401218.71</v>
      </c>
      <c r="V2256" s="45">
        <f t="shared" si="259"/>
        <v>0</v>
      </c>
      <c r="W2256" s="32">
        <f t="shared" si="258"/>
        <v>4177427.92813559</v>
      </c>
      <c r="X2256" s="32"/>
      <c r="Y2256" s="32">
        <f t="shared" si="255"/>
        <v>4177427.92813559</v>
      </c>
      <c r="Z2256" s="55">
        <f t="shared" si="257"/>
        <v>223790.781864407</v>
      </c>
      <c r="AA2256" s="45">
        <f t="shared" si="253"/>
        <v>4401218.71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ht="14.25" spans="1:34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2860</v>
      </c>
      <c r="F2257" s="51" t="s">
        <v>2861</v>
      </c>
      <c r="G2257" s="51" t="s">
        <v>2860</v>
      </c>
      <c r="H2257" s="51" t="s">
        <v>2844</v>
      </c>
      <c r="I2257" s="20" t="s">
        <v>2845</v>
      </c>
      <c r="J2257" s="20" t="s">
        <v>2846</v>
      </c>
      <c r="K2257" s="20" t="str">
        <f>VLOOKUP(H2257,[1]媒体表!C:T,18,0)</f>
        <v>北京多彩</v>
      </c>
      <c r="L2257" s="52" t="s">
        <v>1747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54">
        <v>2941887.54</v>
      </c>
      <c r="V2257" s="45">
        <f t="shared" si="259"/>
        <v>0</v>
      </c>
      <c r="W2257" s="32">
        <f t="shared" si="258"/>
        <v>2792300.0379661</v>
      </c>
      <c r="X2257" s="32"/>
      <c r="Y2257" s="32">
        <f t="shared" si="255"/>
        <v>2792300.0379661</v>
      </c>
      <c r="Z2257" s="55">
        <f t="shared" si="257"/>
        <v>149587.502033899</v>
      </c>
      <c r="AA2257" s="45">
        <f t="shared" si="253"/>
        <v>2941887.54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ht="14.25" spans="1:34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1749</v>
      </c>
      <c r="F2258" s="51" t="s">
        <v>1749</v>
      </c>
      <c r="G2258" s="51" t="s">
        <v>1749</v>
      </c>
      <c r="H2258" s="51" t="s">
        <v>2844</v>
      </c>
      <c r="I2258" s="20" t="s">
        <v>2845</v>
      </c>
      <c r="J2258" s="20" t="s">
        <v>2846</v>
      </c>
      <c r="K2258" s="20" t="str">
        <f>VLOOKUP(H2258,[1]媒体表!C:T,18,0)</f>
        <v>北京多彩</v>
      </c>
      <c r="L2258" s="52" t="s">
        <v>1749</v>
      </c>
      <c r="M2258" s="51"/>
      <c r="N2258" s="51" t="s">
        <v>59</v>
      </c>
      <c r="O2258" s="45" t="s">
        <v>74</v>
      </c>
      <c r="P2258" s="52">
        <v>0.96</v>
      </c>
      <c r="Q2258" s="57"/>
      <c r="R2258" s="51"/>
      <c r="S2258" s="45">
        <v>44484.2500000001</v>
      </c>
      <c r="T2258" s="45"/>
      <c r="U2258" s="54">
        <v>44484.2500000001</v>
      </c>
      <c r="V2258" s="45">
        <f t="shared" si="259"/>
        <v>0</v>
      </c>
      <c r="W2258" s="32">
        <f t="shared" si="258"/>
        <v>22696.0459183674</v>
      </c>
      <c r="X2258" s="32"/>
      <c r="Y2258" s="32">
        <f t="shared" si="255"/>
        <v>22696.0459183674</v>
      </c>
      <c r="Z2258" s="55">
        <f t="shared" si="257"/>
        <v>21788.2040816327</v>
      </c>
      <c r="AA2258" s="45">
        <f t="shared" si="253"/>
        <v>44484.2500000001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ht="14.25" spans="1:34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1749</v>
      </c>
      <c r="F2259" s="51" t="s">
        <v>1749</v>
      </c>
      <c r="G2259" s="51" t="s">
        <v>1749</v>
      </c>
      <c r="H2259" s="51" t="s">
        <v>2844</v>
      </c>
      <c r="I2259" s="20" t="s">
        <v>2845</v>
      </c>
      <c r="J2259" s="20" t="s">
        <v>2846</v>
      </c>
      <c r="K2259" s="20" t="str">
        <f>VLOOKUP(H2259,[1]媒体表!C:T,18,0)</f>
        <v>北京多彩</v>
      </c>
      <c r="L2259" s="52" t="s">
        <v>1749</v>
      </c>
      <c r="M2259" s="51"/>
      <c r="N2259" s="51" t="s">
        <v>110</v>
      </c>
      <c r="O2259" s="45" t="s">
        <v>74</v>
      </c>
      <c r="P2259" s="52">
        <v>0.95</v>
      </c>
      <c r="Q2259" s="57"/>
      <c r="R2259" s="51"/>
      <c r="S2259" s="45">
        <v>12144.85</v>
      </c>
      <c r="T2259" s="45"/>
      <c r="U2259" s="54">
        <v>9031.42</v>
      </c>
      <c r="V2259" s="45">
        <f t="shared" si="259"/>
        <v>3113.43</v>
      </c>
      <c r="W2259" s="32">
        <f t="shared" si="258"/>
        <v>4631.49743589744</v>
      </c>
      <c r="X2259" s="32"/>
      <c r="Y2259" s="32">
        <f t="shared" si="255"/>
        <v>4631.49743589744</v>
      </c>
      <c r="Z2259" s="55">
        <f t="shared" si="257"/>
        <v>4399.92256410256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ht="14.25" spans="1:34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2890</v>
      </c>
      <c r="F2260" s="51" t="s">
        <v>2890</v>
      </c>
      <c r="G2260" s="51" t="s">
        <v>2890</v>
      </c>
      <c r="H2260" s="51" t="s">
        <v>2844</v>
      </c>
      <c r="I2260" s="20" t="s">
        <v>2845</v>
      </c>
      <c r="J2260" s="20" t="s">
        <v>2846</v>
      </c>
      <c r="K2260" s="20" t="str">
        <f>VLOOKUP(H2260,[1]媒体表!C:T,18,0)</f>
        <v>北京多彩</v>
      </c>
      <c r="L2260" s="52" t="s">
        <v>2891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59"/>
        <v>7300.46</v>
      </c>
      <c r="W2260" s="32">
        <f t="shared" si="258"/>
        <v>18486.03</v>
      </c>
      <c r="X2260" s="32"/>
      <c r="Y2260" s="32">
        <f t="shared" si="255"/>
        <v>18486.03</v>
      </c>
      <c r="Z2260" s="55">
        <f t="shared" si="257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ht="14.25" spans="1:34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2844</v>
      </c>
      <c r="I2261" s="20" t="s">
        <v>2845</v>
      </c>
      <c r="J2261" s="20" t="s">
        <v>2846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</v>
      </c>
      <c r="T2261" s="45"/>
      <c r="U2261" s="45">
        <v>5919.68</v>
      </c>
      <c r="V2261" s="45">
        <f t="shared" si="259"/>
        <v>3623.85</v>
      </c>
      <c r="W2261" s="32">
        <f t="shared" si="258"/>
        <v>5747.26213592233</v>
      </c>
      <c r="X2261" s="32"/>
      <c r="Y2261" s="32">
        <f t="shared" si="255"/>
        <v>5747.26213592233</v>
      </c>
      <c r="Z2261" s="55">
        <f t="shared" si="257"/>
        <v>172.41786407767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ht="14.25" spans="1:34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2844</v>
      </c>
      <c r="I2262" s="20" t="s">
        <v>2845</v>
      </c>
      <c r="J2262" s="20" t="s">
        <v>2846</v>
      </c>
      <c r="K2262" s="20" t="str">
        <f>VLOOKUP(H2262,[1]媒体表!C:T,18,0)</f>
        <v>北京多彩</v>
      </c>
      <c r="L2262" s="52" t="s">
        <v>2892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59"/>
        <v>10293.98</v>
      </c>
      <c r="W2262" s="32">
        <f t="shared" si="258"/>
        <v>4436.19371428572</v>
      </c>
      <c r="X2262" s="32"/>
      <c r="Y2262" s="32">
        <f t="shared" si="255"/>
        <v>4436.19371428572</v>
      </c>
      <c r="Z2262" s="55">
        <f t="shared" si="257"/>
        <v>130.476285714285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ht="14.25" spans="1:34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2844</v>
      </c>
      <c r="I2263" s="20" t="s">
        <v>2845</v>
      </c>
      <c r="J2263" s="20" t="s">
        <v>2846</v>
      </c>
      <c r="K2263" s="20" t="str">
        <f>VLOOKUP(H2263,[1]媒体表!C:T,18,0)</f>
        <v>北京多彩</v>
      </c>
      <c r="L2263" s="52" t="s">
        <v>2870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59"/>
        <v>0</v>
      </c>
      <c r="W2263" s="32">
        <f t="shared" si="258"/>
        <v>543536.332058823</v>
      </c>
      <c r="X2263" s="32"/>
      <c r="Y2263" s="32">
        <f t="shared" si="255"/>
        <v>543536.332058823</v>
      </c>
      <c r="Z2263" s="55">
        <f t="shared" si="257"/>
        <v>16470.7979411766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ht="14.25" spans="1:34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2844</v>
      </c>
      <c r="I2264" s="20" t="s">
        <v>2845</v>
      </c>
      <c r="J2264" s="20" t="s">
        <v>2846</v>
      </c>
      <c r="K2264" s="20" t="str">
        <f>VLOOKUP(H2264,[1]媒体表!C:T,18,0)</f>
        <v>北京多彩</v>
      </c>
      <c r="L2264" s="52" t="s">
        <v>2870</v>
      </c>
      <c r="M2264" s="51"/>
      <c r="N2264" s="51" t="s">
        <v>110</v>
      </c>
      <c r="O2264" s="45" t="s">
        <v>43</v>
      </c>
      <c r="P2264" s="52">
        <v>0.064</v>
      </c>
      <c r="Q2264" s="57"/>
      <c r="R2264" s="51"/>
      <c r="S2264" s="45">
        <v>904744.859999999</v>
      </c>
      <c r="T2264" s="45"/>
      <c r="U2264" s="54">
        <v>904744.859999999</v>
      </c>
      <c r="V2264" s="45">
        <f t="shared" si="259"/>
        <v>0</v>
      </c>
      <c r="W2264" s="32">
        <f t="shared" si="258"/>
        <v>864921.1522696</v>
      </c>
      <c r="X2264" s="32"/>
      <c r="Y2264" s="32">
        <f t="shared" si="255"/>
        <v>864921.1522696</v>
      </c>
      <c r="Z2264" s="55">
        <f t="shared" si="257"/>
        <v>39823.7077303989</v>
      </c>
      <c r="AA2264" s="45">
        <f t="shared" si="253"/>
        <v>904744.859999999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ht="14.25" spans="1:34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2844</v>
      </c>
      <c r="I2265" s="20" t="s">
        <v>2845</v>
      </c>
      <c r="J2265" s="20" t="s">
        <v>2846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59"/>
        <v>0</v>
      </c>
      <c r="W2265" s="32">
        <f t="shared" si="258"/>
        <v>0</v>
      </c>
      <c r="X2265" s="32"/>
      <c r="Y2265" s="32">
        <f t="shared" si="255"/>
        <v>0</v>
      </c>
      <c r="Z2265" s="55">
        <f t="shared" si="257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ht="14.25" spans="1:34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2844</v>
      </c>
      <c r="I2266" s="20" t="s">
        <v>2845</v>
      </c>
      <c r="J2266" s="20" t="s">
        <v>2846</v>
      </c>
      <c r="K2266" s="20" t="str">
        <f>VLOOKUP(H2266,[1]媒体表!C:T,18,0)</f>
        <v>北京多彩</v>
      </c>
      <c r="L2266" s="52" t="s">
        <v>2873</v>
      </c>
      <c r="M2266" s="51"/>
      <c r="N2266" s="51" t="s">
        <v>59</v>
      </c>
      <c r="O2266" s="45" t="s">
        <v>43</v>
      </c>
      <c r="P2266" s="52">
        <v>0.03</v>
      </c>
      <c r="Q2266" s="57"/>
      <c r="R2266" s="51"/>
      <c r="S2266" s="45">
        <v>81618.5800000001</v>
      </c>
      <c r="T2266" s="45"/>
      <c r="U2266" s="54">
        <v>81618.5800000001</v>
      </c>
      <c r="V2266" s="45">
        <f t="shared" si="259"/>
        <v>0</v>
      </c>
      <c r="W2266" s="32">
        <f t="shared" si="258"/>
        <v>79241.3398058253</v>
      </c>
      <c r="X2266" s="32"/>
      <c r="Y2266" s="32">
        <f t="shared" si="255"/>
        <v>79241.3398058253</v>
      </c>
      <c r="Z2266" s="55">
        <f t="shared" si="257"/>
        <v>2377.24019417477</v>
      </c>
      <c r="AA2266" s="45">
        <f t="shared" si="253"/>
        <v>81618.5800000001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ht="14.25" spans="1:34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2844</v>
      </c>
      <c r="I2267" s="20" t="s">
        <v>2845</v>
      </c>
      <c r="J2267" s="20" t="s">
        <v>2846</v>
      </c>
      <c r="K2267" s="20" t="str">
        <f>VLOOKUP(H2267,[1]媒体表!C:T,18,0)</f>
        <v>北京多彩</v>
      </c>
      <c r="L2267" s="52" t="s">
        <v>2873</v>
      </c>
      <c r="M2267" s="51"/>
      <c r="N2267" s="51" t="s">
        <v>110</v>
      </c>
      <c r="O2267" s="45" t="s">
        <v>43</v>
      </c>
      <c r="P2267" s="52">
        <v>0.05</v>
      </c>
      <c r="Q2267" s="57"/>
      <c r="R2267" s="51"/>
      <c r="S2267" s="45">
        <v>51191.6</v>
      </c>
      <c r="T2267" s="45"/>
      <c r="U2267" s="45">
        <v>0</v>
      </c>
      <c r="V2267" s="45">
        <f t="shared" si="259"/>
        <v>51191.6</v>
      </c>
      <c r="W2267" s="32">
        <f t="shared" si="258"/>
        <v>0</v>
      </c>
      <c r="X2267" s="32"/>
      <c r="Y2267" s="32">
        <f t="shared" si="255"/>
        <v>0</v>
      </c>
      <c r="Z2267" s="55">
        <f t="shared" si="257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ht="14.25" spans="1:34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1688</v>
      </c>
      <c r="F2268" s="51" t="s">
        <v>2843</v>
      </c>
      <c r="G2268" s="51" t="s">
        <v>1688</v>
      </c>
      <c r="H2268" s="51" t="s">
        <v>2844</v>
      </c>
      <c r="I2268" s="20" t="s">
        <v>2845</v>
      </c>
      <c r="J2268" s="20" t="s">
        <v>2846</v>
      </c>
      <c r="K2268" s="20" t="str">
        <f>VLOOKUP(H2268,[1]媒体表!C:T,18,0)</f>
        <v>北京多彩</v>
      </c>
      <c r="L2268" s="52" t="s">
        <v>2847</v>
      </c>
      <c r="M2268" s="51"/>
      <c r="N2268" s="51" t="s">
        <v>59</v>
      </c>
      <c r="O2268" s="45" t="s">
        <v>43</v>
      </c>
      <c r="P2268" s="52">
        <v>0.0327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59"/>
        <v>0</v>
      </c>
      <c r="W2268" s="32">
        <f t="shared" si="258"/>
        <v>99504.0485436893</v>
      </c>
      <c r="X2268" s="32"/>
      <c r="Y2268" s="32">
        <f t="shared" si="255"/>
        <v>99504.0485436893</v>
      </c>
      <c r="Z2268" s="55">
        <f t="shared" si="257"/>
        <v>2985.12145631068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ht="14.25" spans="1:34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2893</v>
      </c>
      <c r="F2269" s="51" t="s">
        <v>2893</v>
      </c>
      <c r="G2269" s="51" t="s">
        <v>2893</v>
      </c>
      <c r="H2269" s="51" t="s">
        <v>2844</v>
      </c>
      <c r="I2269" s="20" t="s">
        <v>2845</v>
      </c>
      <c r="J2269" s="20" t="s">
        <v>2846</v>
      </c>
      <c r="K2269" s="20" t="str">
        <f>VLOOKUP(H2269,[1]媒体表!C:T,18,0)</f>
        <v>北京多彩</v>
      </c>
      <c r="L2269" s="52" t="s">
        <v>2880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2.73041095889948</v>
      </c>
      <c r="T2269" s="45"/>
      <c r="U2269" s="45">
        <v>0</v>
      </c>
      <c r="V2269" s="45">
        <f t="shared" si="259"/>
        <v>2.73041095889948</v>
      </c>
      <c r="W2269" s="32">
        <f t="shared" si="258"/>
        <v>0</v>
      </c>
      <c r="X2269" s="32"/>
      <c r="Y2269" s="32">
        <f t="shared" si="255"/>
        <v>0</v>
      </c>
      <c r="Z2269" s="55">
        <f t="shared" si="257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ht="14.25" spans="1:34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2894</v>
      </c>
      <c r="F2270" s="51" t="s">
        <v>2894</v>
      </c>
      <c r="G2270" s="51" t="s">
        <v>2894</v>
      </c>
      <c r="H2270" s="51" t="s">
        <v>2844</v>
      </c>
      <c r="I2270" s="20" t="s">
        <v>2845</v>
      </c>
      <c r="J2270" s="20" t="s">
        <v>2846</v>
      </c>
      <c r="K2270" s="20" t="str">
        <f>VLOOKUP(H2270,[1]媒体表!C:T,18,0)</f>
        <v>北京多彩</v>
      </c>
      <c r="L2270" s="52" t="s">
        <v>2880</v>
      </c>
      <c r="M2270" s="51"/>
      <c r="N2270" s="51" t="s">
        <v>110</v>
      </c>
      <c r="O2270" s="45" t="s">
        <v>43</v>
      </c>
      <c r="P2270" s="52">
        <v>0.14</v>
      </c>
      <c r="Q2270" s="57"/>
      <c r="R2270" s="51"/>
      <c r="S2270" s="45">
        <v>21985.82</v>
      </c>
      <c r="T2270" s="45"/>
      <c r="U2270" s="45">
        <v>0</v>
      </c>
      <c r="V2270" s="45">
        <f t="shared" si="259"/>
        <v>21985.82</v>
      </c>
      <c r="W2270" s="32">
        <f t="shared" si="258"/>
        <v>0</v>
      </c>
      <c r="X2270" s="32"/>
      <c r="Y2270" s="32">
        <f t="shared" si="255"/>
        <v>0</v>
      </c>
      <c r="Z2270" s="55">
        <f t="shared" si="257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ht="14.25" spans="1:34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1626</v>
      </c>
      <c r="F2271" s="51" t="s">
        <v>1626</v>
      </c>
      <c r="G2271" s="51" t="s">
        <v>1626</v>
      </c>
      <c r="H2271" s="51" t="s">
        <v>2844</v>
      </c>
      <c r="I2271" s="20" t="s">
        <v>2845</v>
      </c>
      <c r="J2271" s="20" t="s">
        <v>2846</v>
      </c>
      <c r="K2271" s="20" t="str">
        <f>VLOOKUP(H2271,[1]媒体表!C:T,18,0)</f>
        <v>北京多彩</v>
      </c>
      <c r="L2271" s="52" t="s">
        <v>2880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59"/>
        <v>10631.98</v>
      </c>
      <c r="W2271" s="32">
        <f t="shared" si="258"/>
        <v>0</v>
      </c>
      <c r="X2271" s="32"/>
      <c r="Y2271" s="32">
        <f t="shared" si="255"/>
        <v>0</v>
      </c>
      <c r="Z2271" s="55">
        <f t="shared" si="257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ht="14.25" spans="1:34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2880</v>
      </c>
      <c r="F2272" s="51" t="s">
        <v>2895</v>
      </c>
      <c r="G2272" s="51" t="s">
        <v>2880</v>
      </c>
      <c r="H2272" s="51" t="s">
        <v>2844</v>
      </c>
      <c r="I2272" s="20" t="s">
        <v>2845</v>
      </c>
      <c r="J2272" s="20" t="s">
        <v>2846</v>
      </c>
      <c r="K2272" s="20" t="str">
        <f>VLOOKUP(H2272,[1]媒体表!C:T,18,0)</f>
        <v>北京多彩</v>
      </c>
      <c r="L2272" s="52" t="s">
        <v>2880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59"/>
        <v>705319.13</v>
      </c>
      <c r="W2272" s="32">
        <f t="shared" si="258"/>
        <v>0</v>
      </c>
      <c r="X2272" s="32"/>
      <c r="Y2272" s="32">
        <f t="shared" si="255"/>
        <v>0</v>
      </c>
      <c r="Z2272" s="55">
        <f t="shared" si="257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ht="14.25" spans="1:34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2880</v>
      </c>
      <c r="F2273" s="51" t="s">
        <v>2895</v>
      </c>
      <c r="G2273" s="51" t="s">
        <v>2880</v>
      </c>
      <c r="H2273" s="51" t="s">
        <v>2844</v>
      </c>
      <c r="I2273" s="20" t="s">
        <v>2845</v>
      </c>
      <c r="J2273" s="20" t="s">
        <v>2846</v>
      </c>
      <c r="K2273" s="20" t="str">
        <f>VLOOKUP(H2273,[1]媒体表!C:T,18,0)</f>
        <v>北京多彩</v>
      </c>
      <c r="L2273" s="52" t="s">
        <v>2880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8918577.76</v>
      </c>
      <c r="T2273" s="45"/>
      <c r="U2273" s="45">
        <v>0</v>
      </c>
      <c r="V2273" s="45">
        <f t="shared" si="259"/>
        <v>8918577.76</v>
      </c>
      <c r="W2273" s="32">
        <f t="shared" si="258"/>
        <v>0</v>
      </c>
      <c r="X2273" s="32"/>
      <c r="Y2273" s="32">
        <f t="shared" si="255"/>
        <v>0</v>
      </c>
      <c r="Z2273" s="55">
        <f t="shared" si="257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ht="14.25" spans="1:34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2896</v>
      </c>
      <c r="F2274" s="51" t="s">
        <v>2897</v>
      </c>
      <c r="G2274" s="51" t="s">
        <v>2896</v>
      </c>
      <c r="H2274" s="51" t="s">
        <v>2844</v>
      </c>
      <c r="I2274" s="20" t="s">
        <v>2845</v>
      </c>
      <c r="J2274" s="20" t="s">
        <v>2846</v>
      </c>
      <c r="K2274" s="20" t="str">
        <f>VLOOKUP(H2274,[1]媒体表!C:T,18,0)</f>
        <v>北京多彩</v>
      </c>
      <c r="L2274" s="52" t="s">
        <v>2880</v>
      </c>
      <c r="M2274" s="51"/>
      <c r="N2274" s="51" t="s">
        <v>110</v>
      </c>
      <c r="O2274" s="45" t="s">
        <v>43</v>
      </c>
      <c r="P2274" s="52">
        <v>0.07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58"/>
        <v>0</v>
      </c>
      <c r="X2274" s="32"/>
      <c r="Y2274" s="32">
        <f t="shared" si="255"/>
        <v>0</v>
      </c>
      <c r="Z2274" s="55">
        <f t="shared" si="257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ht="14.25" spans="1:34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1737</v>
      </c>
      <c r="F2275" s="51" t="s">
        <v>2850</v>
      </c>
      <c r="G2275" s="51" t="s">
        <v>1737</v>
      </c>
      <c r="H2275" s="51" t="s">
        <v>2844</v>
      </c>
      <c r="I2275" s="20" t="s">
        <v>2845</v>
      </c>
      <c r="J2275" s="20" t="s">
        <v>2846</v>
      </c>
      <c r="K2275" s="20" t="str">
        <f>VLOOKUP(H2275,[1]媒体表!C:T,18,0)</f>
        <v>北京多彩</v>
      </c>
      <c r="L2275" s="52" t="s">
        <v>1739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0">S2275+T2275-U2275</f>
        <v>87301.6800000001</v>
      </c>
      <c r="W2275" s="32">
        <f t="shared" si="258"/>
        <v>624164.12852459</v>
      </c>
      <c r="X2275" s="32"/>
      <c r="Y2275" s="32">
        <f t="shared" si="255"/>
        <v>624164.12852459</v>
      </c>
      <c r="Z2275" s="55">
        <f t="shared" si="257"/>
        <v>32284.3514754098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ht="14.25" spans="1:34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2898</v>
      </c>
      <c r="F2276" s="51" t="s">
        <v>2898</v>
      </c>
      <c r="G2276" s="51" t="s">
        <v>2898</v>
      </c>
      <c r="H2276" s="51" t="s">
        <v>2844</v>
      </c>
      <c r="I2276" s="20" t="s">
        <v>2845</v>
      </c>
      <c r="J2276" s="20" t="s">
        <v>2846</v>
      </c>
      <c r="K2276" s="20" t="str">
        <f>VLOOKUP(H2276,[1]媒体表!C:T,18,0)</f>
        <v>北京多彩</v>
      </c>
      <c r="L2276" s="52" t="s">
        <v>2899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0"/>
        <v>20438.14</v>
      </c>
      <c r="W2276" s="32">
        <f t="shared" si="258"/>
        <v>52984.23</v>
      </c>
      <c r="X2276" s="32">
        <f>W2276*3%</f>
        <v>1589.5269</v>
      </c>
      <c r="Y2276" s="32">
        <f t="shared" si="255"/>
        <v>54573.7569</v>
      </c>
      <c r="Z2276" s="55">
        <f t="shared" si="257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ht="14.25" spans="1:34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2869</v>
      </c>
      <c r="F2277" s="51" t="s">
        <v>2869</v>
      </c>
      <c r="G2277" s="51" t="s">
        <v>2869</v>
      </c>
      <c r="H2277" s="51" t="s">
        <v>2844</v>
      </c>
      <c r="I2277" s="20" t="s">
        <v>2845</v>
      </c>
      <c r="J2277" s="20" t="s">
        <v>2846</v>
      </c>
      <c r="K2277" s="20" t="str">
        <f>VLOOKUP(H2277,[1]媒体表!C:T,18,0)</f>
        <v>北京多彩</v>
      </c>
      <c r="L2277" s="52" t="s">
        <v>1801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0"/>
        <v>0</v>
      </c>
      <c r="W2277" s="32">
        <f t="shared" si="258"/>
        <v>47284.7714285714</v>
      </c>
      <c r="X2277" s="32"/>
      <c r="Y2277" s="32">
        <f t="shared" si="255"/>
        <v>47284.7714285714</v>
      </c>
      <c r="Z2277" s="55">
        <f t="shared" si="257"/>
        <v>1390.72857142857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ht="14.25" spans="1:34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2866</v>
      </c>
      <c r="F2278" s="51" t="s">
        <v>2866</v>
      </c>
      <c r="G2278" s="51" t="s">
        <v>2866</v>
      </c>
      <c r="H2278" s="51" t="s">
        <v>2844</v>
      </c>
      <c r="I2278" s="20" t="s">
        <v>2845</v>
      </c>
      <c r="J2278" s="20" t="s">
        <v>2846</v>
      </c>
      <c r="K2278" s="20" t="str">
        <f>VLOOKUP(H2278,[1]媒体表!C:T,18,0)</f>
        <v>北京多彩</v>
      </c>
      <c r="L2278" s="52" t="s">
        <v>2867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0"/>
        <v>0</v>
      </c>
      <c r="W2278" s="32">
        <f t="shared" si="258"/>
        <v>25687.2386538462</v>
      </c>
      <c r="X2278" s="32"/>
      <c r="Y2278" s="32">
        <f t="shared" si="255"/>
        <v>25687.2386538462</v>
      </c>
      <c r="Z2278" s="55">
        <f t="shared" si="257"/>
        <v>503.671346153846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ht="14.25" spans="1:34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2900</v>
      </c>
      <c r="F2279" s="51" t="s">
        <v>2900</v>
      </c>
      <c r="G2279" s="51" t="s">
        <v>2900</v>
      </c>
      <c r="H2279" s="51" t="s">
        <v>2844</v>
      </c>
      <c r="I2279" s="20" t="s">
        <v>2845</v>
      </c>
      <c r="J2279" s="20" t="s">
        <v>2846</v>
      </c>
      <c r="K2279" s="20" t="str">
        <f>VLOOKUP(H2279,[1]媒体表!C:T,18,0)</f>
        <v>北京多彩</v>
      </c>
      <c r="L2279" s="52" t="s">
        <v>2900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0"/>
        <v>359859.74</v>
      </c>
      <c r="W2279" s="32">
        <f t="shared" si="258"/>
        <v>0</v>
      </c>
      <c r="X2279" s="32"/>
      <c r="Y2279" s="32">
        <f t="shared" si="255"/>
        <v>0</v>
      </c>
      <c r="Z2279" s="55">
        <f t="shared" si="257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ht="14.25" spans="1:34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2205</v>
      </c>
      <c r="F2280" s="51" t="s">
        <v>2205</v>
      </c>
      <c r="G2280" s="51" t="s">
        <v>2205</v>
      </c>
      <c r="H2280" s="51" t="s">
        <v>2844</v>
      </c>
      <c r="I2280" s="20" t="s">
        <v>2845</v>
      </c>
      <c r="J2280" s="20" t="s">
        <v>2846</v>
      </c>
      <c r="K2280" s="20" t="str">
        <f>VLOOKUP(H2280,[1]媒体表!C:T,18,0)</f>
        <v>北京多彩</v>
      </c>
      <c r="L2280" s="52" t="s">
        <v>2205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0"/>
        <v>21953.85</v>
      </c>
      <c r="W2280" s="32">
        <f t="shared" si="258"/>
        <v>18176.91</v>
      </c>
      <c r="X2280" s="32"/>
      <c r="Y2280" s="32">
        <f t="shared" si="255"/>
        <v>18176.91</v>
      </c>
      <c r="Z2280" s="55">
        <f t="shared" si="257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ht="14.25" spans="1:34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2346</v>
      </c>
      <c r="F2281" s="51" t="s">
        <v>2346</v>
      </c>
      <c r="G2281" s="51" t="s">
        <v>2346</v>
      </c>
      <c r="H2281" s="51" t="s">
        <v>2844</v>
      </c>
      <c r="I2281" s="20" t="s">
        <v>2845</v>
      </c>
      <c r="J2281" s="20" t="s">
        <v>2846</v>
      </c>
      <c r="K2281" s="20" t="str">
        <f>VLOOKUP(H2281,[1]媒体表!C:T,18,0)</f>
        <v>北京多彩</v>
      </c>
      <c r="L2281" s="52" t="s">
        <v>2346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</v>
      </c>
      <c r="T2281" s="45"/>
      <c r="U2281" s="45">
        <v>80989.78</v>
      </c>
      <c r="V2281" s="45">
        <f t="shared" si="260"/>
        <v>58353.95</v>
      </c>
      <c r="W2281" s="32">
        <f t="shared" si="258"/>
        <v>78675.7862857143</v>
      </c>
      <c r="X2281" s="32"/>
      <c r="Y2281" s="32">
        <f t="shared" si="255"/>
        <v>78675.7862857143</v>
      </c>
      <c r="Z2281" s="55">
        <f t="shared" si="257"/>
        <v>2313.99371428572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ht="14.25" spans="1:34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2901</v>
      </c>
      <c r="F2282" s="51" t="s">
        <v>2902</v>
      </c>
      <c r="G2282" s="51" t="s">
        <v>2901</v>
      </c>
      <c r="H2282" s="51" t="s">
        <v>2844</v>
      </c>
      <c r="I2282" s="20" t="s">
        <v>2845</v>
      </c>
      <c r="J2282" s="20" t="s">
        <v>2846</v>
      </c>
      <c r="K2282" s="20" t="str">
        <f>VLOOKUP(H2282,[1]媒体表!C:T,18,0)</f>
        <v>北京多彩</v>
      </c>
      <c r="L2282" s="52" t="s">
        <v>2903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0"/>
        <v>1000000</v>
      </c>
      <c r="W2282" s="32">
        <f t="shared" si="258"/>
        <v>0</v>
      </c>
      <c r="X2282" s="32"/>
      <c r="Y2282" s="32">
        <f t="shared" si="255"/>
        <v>0</v>
      </c>
      <c r="Z2282" s="55">
        <f t="shared" si="257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ht="14.25" spans="1:34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2904</v>
      </c>
      <c r="F2283" s="51" t="s">
        <v>2904</v>
      </c>
      <c r="G2283" s="51" t="s">
        <v>2904</v>
      </c>
      <c r="H2283" s="51" t="s">
        <v>2844</v>
      </c>
      <c r="I2283" s="20" t="s">
        <v>2845</v>
      </c>
      <c r="J2283" s="20" t="s">
        <v>2846</v>
      </c>
      <c r="K2283" s="20" t="str">
        <f>VLOOKUP(H2283,[1]媒体表!C:T,18,0)</f>
        <v>北京多彩</v>
      </c>
      <c r="L2283" s="52" t="s">
        <v>2905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0"/>
        <v>0</v>
      </c>
      <c r="W2283" s="32">
        <f t="shared" si="258"/>
        <v>220663.351608392</v>
      </c>
      <c r="X2283" s="32"/>
      <c r="Y2283" s="32">
        <f t="shared" si="255"/>
        <v>220663.351608392</v>
      </c>
      <c r="Z2283" s="55">
        <f t="shared" si="257"/>
        <v>9664.08839160838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ht="14.25" spans="1:34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1667</v>
      </c>
      <c r="F2284" s="51" t="s">
        <v>2871</v>
      </c>
      <c r="G2284" s="51" t="s">
        <v>1667</v>
      </c>
      <c r="H2284" s="51" t="s">
        <v>2844</v>
      </c>
      <c r="I2284" s="20" t="s">
        <v>2845</v>
      </c>
      <c r="J2284" s="20" t="s">
        <v>2846</v>
      </c>
      <c r="K2284" s="20" t="str">
        <f>VLOOKUP(H2284,[1]媒体表!C:T,18,0)</f>
        <v>北京多彩</v>
      </c>
      <c r="L2284" s="52" t="s">
        <v>1668</v>
      </c>
      <c r="M2284" s="51"/>
      <c r="N2284" s="51" t="s">
        <v>110</v>
      </c>
      <c r="O2284" s="45" t="s">
        <v>43</v>
      </c>
      <c r="P2284" s="52">
        <v>0.0822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0"/>
        <v>0</v>
      </c>
      <c r="W2284" s="32">
        <f t="shared" si="258"/>
        <v>186089.566037736</v>
      </c>
      <c r="X2284" s="32"/>
      <c r="Y2284" s="32">
        <f t="shared" si="255"/>
        <v>186089.566037736</v>
      </c>
      <c r="Z2284" s="55">
        <f t="shared" si="257"/>
        <v>11165.3739622642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ht="14.25" spans="1:34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2906</v>
      </c>
      <c r="F2285" s="51" t="s">
        <v>2907</v>
      </c>
      <c r="G2285" s="51" t="s">
        <v>2906</v>
      </c>
      <c r="H2285" s="51" t="s">
        <v>2844</v>
      </c>
      <c r="I2285" s="20" t="s">
        <v>2845</v>
      </c>
      <c r="J2285" s="20" t="s">
        <v>2846</v>
      </c>
      <c r="K2285" s="20" t="str">
        <f>VLOOKUP(H2285,[1]媒体表!C:T,18,0)</f>
        <v>北京多彩</v>
      </c>
      <c r="L2285" s="52" t="s">
        <v>2906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0"/>
        <v>6197.05</v>
      </c>
      <c r="W2285" s="32">
        <f t="shared" si="258"/>
        <v>0</v>
      </c>
      <c r="X2285" s="32"/>
      <c r="Y2285" s="32">
        <f t="shared" si="255"/>
        <v>0</v>
      </c>
      <c r="Z2285" s="55">
        <f t="shared" si="257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ht="14.25" spans="1:34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2908</v>
      </c>
      <c r="F2286" s="51" t="s">
        <v>2908</v>
      </c>
      <c r="G2286" s="51" t="s">
        <v>2908</v>
      </c>
      <c r="H2286" s="51" t="s">
        <v>2844</v>
      </c>
      <c r="I2286" s="20" t="s">
        <v>2845</v>
      </c>
      <c r="J2286" s="20" t="s">
        <v>2846</v>
      </c>
      <c r="K2286" s="20" t="str">
        <f>VLOOKUP(H2286,[1]媒体表!C:T,18,0)</f>
        <v>北京多彩</v>
      </c>
      <c r="L2286" s="52" t="s">
        <v>2908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0"/>
        <v>15598.98</v>
      </c>
      <c r="W2286" s="32">
        <f t="shared" si="258"/>
        <v>2506.06796116505</v>
      </c>
      <c r="X2286" s="32"/>
      <c r="Y2286" s="32">
        <f t="shared" si="255"/>
        <v>2506.06796116505</v>
      </c>
      <c r="Z2286" s="55">
        <f t="shared" si="257"/>
        <v>75.1820388349515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ht="14.25" spans="1:34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2844</v>
      </c>
      <c r="I2287" s="20" t="s">
        <v>2845</v>
      </c>
      <c r="J2287" s="20" t="s">
        <v>2846</v>
      </c>
      <c r="K2287" s="20" t="str">
        <f>VLOOKUP(H2287,[1]媒体表!C:T,18,0)</f>
        <v>北京多彩</v>
      </c>
      <c r="L2287" s="52" t="s">
        <v>2880</v>
      </c>
      <c r="M2287" s="51"/>
      <c r="N2287" s="51" t="s">
        <v>110</v>
      </c>
      <c r="O2287" s="45" t="s">
        <v>43</v>
      </c>
      <c r="P2287" s="52">
        <v>0.07</v>
      </c>
      <c r="Q2287" s="57"/>
      <c r="R2287" s="51"/>
      <c r="S2287" s="45">
        <v>104793.970821918</v>
      </c>
      <c r="T2287" s="45"/>
      <c r="U2287" s="45">
        <v>0</v>
      </c>
      <c r="V2287" s="45">
        <f t="shared" si="260"/>
        <v>104793.970821918</v>
      </c>
      <c r="W2287" s="32">
        <f t="shared" si="258"/>
        <v>0</v>
      </c>
      <c r="X2287" s="32"/>
      <c r="Y2287" s="32">
        <f t="shared" si="255"/>
        <v>0</v>
      </c>
      <c r="Z2287" s="55">
        <f t="shared" si="257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ht="14.25" spans="1:34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2844</v>
      </c>
      <c r="I2288" s="20" t="s">
        <v>2845</v>
      </c>
      <c r="J2288" s="20" t="s">
        <v>2846</v>
      </c>
      <c r="K2288" s="20" t="str">
        <f>VLOOKUP(H2288,[1]媒体表!C:T,18,0)</f>
        <v>北京多彩</v>
      </c>
      <c r="L2288" s="52" t="s">
        <v>2880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0"/>
        <v>16160.15</v>
      </c>
      <c r="W2288" s="32">
        <f t="shared" si="258"/>
        <v>0</v>
      </c>
      <c r="X2288" s="32"/>
      <c r="Y2288" s="32">
        <f t="shared" si="255"/>
        <v>0</v>
      </c>
      <c r="Z2288" s="55">
        <f t="shared" si="257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ht="14.25" spans="1:34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2844</v>
      </c>
      <c r="I2289" s="20" t="s">
        <v>2845</v>
      </c>
      <c r="J2289" s="20" t="s">
        <v>2846</v>
      </c>
      <c r="K2289" s="20" t="str">
        <f>VLOOKUP(H2289,[1]媒体表!C:T,18,0)</f>
        <v>北京多彩</v>
      </c>
      <c r="L2289" s="52" t="s">
        <v>2880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52286.9816438356</v>
      </c>
      <c r="T2289" s="45"/>
      <c r="U2289" s="45">
        <v>0</v>
      </c>
      <c r="V2289" s="45">
        <f t="shared" si="260"/>
        <v>52286.9816438356</v>
      </c>
      <c r="W2289" s="32">
        <f t="shared" si="258"/>
        <v>0</v>
      </c>
      <c r="X2289" s="32"/>
      <c r="Y2289" s="32">
        <f t="shared" si="255"/>
        <v>0</v>
      </c>
      <c r="Z2289" s="55">
        <f t="shared" si="257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ht="14.25" spans="1:34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2844</v>
      </c>
      <c r="I2290" s="20" t="s">
        <v>2845</v>
      </c>
      <c r="J2290" s="20" t="s">
        <v>2846</v>
      </c>
      <c r="K2290" s="20" t="str">
        <f>VLOOKUP(H2290,[1]媒体表!C:T,18,0)</f>
        <v>北京多彩</v>
      </c>
      <c r="L2290" s="52" t="s">
        <v>2880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</v>
      </c>
      <c r="T2290" s="45"/>
      <c r="U2290" s="45">
        <v>0</v>
      </c>
      <c r="V2290" s="45">
        <f t="shared" si="260"/>
        <v>11.4799999999959</v>
      </c>
      <c r="W2290" s="32">
        <f t="shared" si="258"/>
        <v>0</v>
      </c>
      <c r="X2290" s="32"/>
      <c r="Y2290" s="32">
        <f t="shared" si="255"/>
        <v>0</v>
      </c>
      <c r="Z2290" s="55">
        <f t="shared" si="257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ht="14.25" spans="1:34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2844</v>
      </c>
      <c r="I2291" s="20" t="s">
        <v>2845</v>
      </c>
      <c r="J2291" s="20" t="s">
        <v>2846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0.07</v>
      </c>
      <c r="Q2291" s="57"/>
      <c r="R2291" s="51"/>
      <c r="S2291" s="45">
        <v>7277.43999999999</v>
      </c>
      <c r="T2291" s="45"/>
      <c r="U2291" s="45">
        <v>0</v>
      </c>
      <c r="V2291" s="45">
        <f t="shared" si="260"/>
        <v>7277.43999999999</v>
      </c>
      <c r="W2291" s="32">
        <f t="shared" si="258"/>
        <v>0</v>
      </c>
      <c r="X2291" s="32"/>
      <c r="Y2291" s="32">
        <f t="shared" si="255"/>
        <v>0</v>
      </c>
      <c r="Z2291" s="55">
        <f t="shared" si="257"/>
        <v>0</v>
      </c>
      <c r="AA2291" s="45">
        <f t="shared" ref="AA2291:AA2354" si="261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ht="14.25" spans="1:34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2909</v>
      </c>
      <c r="F2292" s="51" t="s">
        <v>2909</v>
      </c>
      <c r="G2292" s="51" t="s">
        <v>2909</v>
      </c>
      <c r="H2292" s="51" t="s">
        <v>2844</v>
      </c>
      <c r="I2292" s="20" t="s">
        <v>2845</v>
      </c>
      <c r="J2292" s="20" t="s">
        <v>2846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0.07</v>
      </c>
      <c r="Q2292" s="57"/>
      <c r="R2292" s="51"/>
      <c r="S2292" s="45">
        <v>14396.02</v>
      </c>
      <c r="T2292" s="45"/>
      <c r="U2292" s="45">
        <v>0</v>
      </c>
      <c r="V2292" s="45">
        <f t="shared" si="260"/>
        <v>14396.02</v>
      </c>
      <c r="W2292" s="32">
        <f t="shared" si="258"/>
        <v>0</v>
      </c>
      <c r="X2292" s="32"/>
      <c r="Y2292" s="32">
        <f t="shared" si="255"/>
        <v>0</v>
      </c>
      <c r="Z2292" s="55">
        <f t="shared" si="257"/>
        <v>0</v>
      </c>
      <c r="AA2292" s="45">
        <f t="shared" si="261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ht="14.25" spans="1:34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2844</v>
      </c>
      <c r="I2293" s="20" t="s">
        <v>2845</v>
      </c>
      <c r="J2293" s="20" t="s">
        <v>2846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4173.11</v>
      </c>
      <c r="V2293" s="45">
        <f t="shared" si="260"/>
        <v>136929.74</v>
      </c>
      <c r="W2293" s="32">
        <f t="shared" si="258"/>
        <v>4051.56310679612</v>
      </c>
      <c r="X2293" s="32"/>
      <c r="Y2293" s="32">
        <f t="shared" si="255"/>
        <v>4051.56310679612</v>
      </c>
      <c r="Z2293" s="55">
        <f t="shared" si="257"/>
        <v>121.546893203883</v>
      </c>
      <c r="AA2293" s="45">
        <f t="shared" si="261"/>
        <v>4173.11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ht="14.25" spans="1:34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2844</v>
      </c>
      <c r="I2294" s="20" t="s">
        <v>2845</v>
      </c>
      <c r="J2294" s="20" t="s">
        <v>2846</v>
      </c>
      <c r="K2294" s="20" t="str">
        <f>VLOOKUP(H2294,[1]媒体表!C:T,18,0)</f>
        <v>北京多彩</v>
      </c>
      <c r="L2294" s="52" t="s">
        <v>2910</v>
      </c>
      <c r="M2294" s="51"/>
      <c r="N2294" s="51" t="s">
        <v>110</v>
      </c>
      <c r="O2294" s="45" t="s">
        <v>43</v>
      </c>
      <c r="P2294" s="52">
        <v>0.072</v>
      </c>
      <c r="Q2294" s="57"/>
      <c r="R2294" s="51"/>
      <c r="S2294" s="45">
        <v>83771.27</v>
      </c>
      <c r="T2294" s="45"/>
      <c r="U2294" s="45">
        <v>0</v>
      </c>
      <c r="V2294" s="45">
        <f t="shared" si="260"/>
        <v>83771.27</v>
      </c>
      <c r="W2294" s="32">
        <f t="shared" si="258"/>
        <v>0</v>
      </c>
      <c r="X2294" s="32"/>
      <c r="Y2294" s="32">
        <f t="shared" si="255"/>
        <v>0</v>
      </c>
      <c r="Z2294" s="55">
        <f t="shared" si="257"/>
        <v>0</v>
      </c>
      <c r="AA2294" s="45">
        <f t="shared" si="261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ht="14.25" spans="1:34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2844</v>
      </c>
      <c r="I2295" s="20" t="s">
        <v>2845</v>
      </c>
      <c r="J2295" s="20" t="s">
        <v>2846</v>
      </c>
      <c r="K2295" s="20" t="str">
        <f>VLOOKUP(H2295,[1]媒体表!C:T,18,0)</f>
        <v>北京多彩</v>
      </c>
      <c r="L2295" s="52" t="s">
        <v>2910</v>
      </c>
      <c r="M2295" s="51"/>
      <c r="N2295" s="51" t="s">
        <v>59</v>
      </c>
      <c r="O2295" s="45" t="s">
        <v>43</v>
      </c>
      <c r="P2295" s="52">
        <v>0.042</v>
      </c>
      <c r="Q2295" s="57"/>
      <c r="R2295" s="51"/>
      <c r="S2295" s="45">
        <v>151597.56</v>
      </c>
      <c r="T2295" s="45"/>
      <c r="U2295" s="45">
        <v>0</v>
      </c>
      <c r="V2295" s="45">
        <f t="shared" si="260"/>
        <v>151597.56</v>
      </c>
      <c r="W2295" s="32">
        <f t="shared" si="258"/>
        <v>0</v>
      </c>
      <c r="X2295" s="32"/>
      <c r="Y2295" s="32">
        <f t="shared" si="255"/>
        <v>0</v>
      </c>
      <c r="Z2295" s="55">
        <f t="shared" si="257"/>
        <v>0</v>
      </c>
      <c r="AA2295" s="45">
        <f t="shared" si="261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ht="14.25" spans="1:34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2901</v>
      </c>
      <c r="F2296" s="51" t="s">
        <v>2902</v>
      </c>
      <c r="G2296" s="51" t="s">
        <v>2901</v>
      </c>
      <c r="H2296" s="51" t="s">
        <v>2844</v>
      </c>
      <c r="I2296" s="20" t="s">
        <v>2845</v>
      </c>
      <c r="J2296" s="20" t="s">
        <v>2846</v>
      </c>
      <c r="K2296" s="20" t="str">
        <f>VLOOKUP(H2296,[1]媒体表!C:T,18,0)</f>
        <v>北京多彩</v>
      </c>
      <c r="L2296" s="52" t="s">
        <v>2911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0"/>
        <v>160473.87</v>
      </c>
      <c r="W2296" s="32">
        <f t="shared" si="258"/>
        <v>0</v>
      </c>
      <c r="X2296" s="32"/>
      <c r="Y2296" s="32">
        <f t="shared" ref="Y2296:Y2359" si="262">W2296+X2296</f>
        <v>0</v>
      </c>
      <c r="Z2296" s="55">
        <f t="shared" si="257"/>
        <v>0</v>
      </c>
      <c r="AA2296" s="45">
        <f t="shared" si="261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ht="14.25" spans="1:34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2912</v>
      </c>
      <c r="F2297" s="51" t="s">
        <v>2912</v>
      </c>
      <c r="G2297" s="51" t="s">
        <v>2912</v>
      </c>
      <c r="H2297" s="51" t="s">
        <v>2844</v>
      </c>
      <c r="I2297" s="20" t="s">
        <v>2845</v>
      </c>
      <c r="J2297" s="20" t="s">
        <v>2846</v>
      </c>
      <c r="K2297" s="20" t="str">
        <f>VLOOKUP(H2297,[1]媒体表!C:T,18,0)</f>
        <v>北京多彩</v>
      </c>
      <c r="L2297" s="52" t="s">
        <v>2912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0"/>
        <v>7020</v>
      </c>
      <c r="W2297" s="32">
        <f t="shared" si="258"/>
        <v>0</v>
      </c>
      <c r="X2297" s="32"/>
      <c r="Y2297" s="32">
        <f t="shared" si="262"/>
        <v>0</v>
      </c>
      <c r="Z2297" s="55">
        <f t="shared" si="257"/>
        <v>0</v>
      </c>
      <c r="AA2297" s="45">
        <f t="shared" si="261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ht="14.25" spans="1:34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2488</v>
      </c>
      <c r="F2298" s="51" t="s">
        <v>2488</v>
      </c>
      <c r="G2298" s="51" t="s">
        <v>2488</v>
      </c>
      <c r="H2298" s="51" t="s">
        <v>2844</v>
      </c>
      <c r="I2298" s="20" t="s">
        <v>2845</v>
      </c>
      <c r="J2298" s="20" t="s">
        <v>2846</v>
      </c>
      <c r="K2298" s="20" t="str">
        <f>VLOOKUP(H2298,[1]媒体表!C:T,18,0)</f>
        <v>北京多彩</v>
      </c>
      <c r="L2298" s="52" t="s">
        <v>2488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2324.74</v>
      </c>
      <c r="T2298" s="45"/>
      <c r="U2298" s="45">
        <v>0</v>
      </c>
      <c r="V2298" s="45">
        <f t="shared" si="260"/>
        <v>2324.74</v>
      </c>
      <c r="W2298" s="32">
        <f t="shared" si="258"/>
        <v>0</v>
      </c>
      <c r="X2298" s="32"/>
      <c r="Y2298" s="32">
        <f t="shared" si="262"/>
        <v>0</v>
      </c>
      <c r="Z2298" s="55">
        <f t="shared" si="257"/>
        <v>0</v>
      </c>
      <c r="AA2298" s="45">
        <f t="shared" si="261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ht="14.25" spans="1:34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2913</v>
      </c>
      <c r="F2299" s="51" t="s">
        <v>2913</v>
      </c>
      <c r="G2299" s="51" t="s">
        <v>2913</v>
      </c>
      <c r="H2299" s="51" t="s">
        <v>2844</v>
      </c>
      <c r="I2299" s="20" t="s">
        <v>2845</v>
      </c>
      <c r="J2299" s="20" t="s">
        <v>2846</v>
      </c>
      <c r="K2299" s="20" t="str">
        <f>VLOOKUP(H2299,[1]媒体表!C:T,18,0)</f>
        <v>北京多彩</v>
      </c>
      <c r="L2299" s="52" t="s">
        <v>2913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0"/>
        <v>22312.19</v>
      </c>
      <c r="W2299" s="32">
        <f t="shared" si="258"/>
        <v>0</v>
      </c>
      <c r="X2299" s="32"/>
      <c r="Y2299" s="32">
        <f t="shared" si="262"/>
        <v>0</v>
      </c>
      <c r="Z2299" s="55">
        <f t="shared" si="257"/>
        <v>0</v>
      </c>
      <c r="AA2299" s="45">
        <f t="shared" si="261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ht="14.25" spans="1:34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2869</v>
      </c>
      <c r="F2300" s="51" t="s">
        <v>2869</v>
      </c>
      <c r="G2300" s="51" t="s">
        <v>2869</v>
      </c>
      <c r="H2300" s="51" t="s">
        <v>2844</v>
      </c>
      <c r="I2300" s="20" t="s">
        <v>2845</v>
      </c>
      <c r="J2300" s="20" t="s">
        <v>2846</v>
      </c>
      <c r="K2300" s="20" t="str">
        <f>VLOOKUP(H2300,[1]媒体表!C:T,18,0)</f>
        <v>北京多彩</v>
      </c>
      <c r="L2300" s="52" t="s">
        <v>1801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0"/>
        <v>26295.65</v>
      </c>
      <c r="W2300" s="32">
        <f t="shared" si="258"/>
        <v>37063.0502857143</v>
      </c>
      <c r="X2300" s="32"/>
      <c r="Y2300" s="32">
        <f t="shared" si="262"/>
        <v>37063.0502857143</v>
      </c>
      <c r="Z2300" s="55">
        <f t="shared" si="257"/>
        <v>1090.08971428571</v>
      </c>
      <c r="AA2300" s="45">
        <f t="shared" si="261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ht="14.25" spans="1:34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2914</v>
      </c>
      <c r="F2301" s="51" t="s">
        <v>2914</v>
      </c>
      <c r="G2301" s="51" t="s">
        <v>2914</v>
      </c>
      <c r="H2301" s="51" t="s">
        <v>2844</v>
      </c>
      <c r="I2301" s="20" t="s">
        <v>2845</v>
      </c>
      <c r="J2301" s="20" t="s">
        <v>2846</v>
      </c>
      <c r="K2301" s="20" t="str">
        <f>VLOOKUP(H2301,[1]媒体表!C:T,18,0)</f>
        <v>北京多彩</v>
      </c>
      <c r="L2301" s="52" t="s">
        <v>2914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0"/>
        <v>11487.65</v>
      </c>
      <c r="W2301" s="32">
        <f t="shared" si="258"/>
        <v>4003.28</v>
      </c>
      <c r="X2301" s="32"/>
      <c r="Y2301" s="32">
        <f t="shared" si="262"/>
        <v>4003.28</v>
      </c>
      <c r="Z2301" s="55">
        <f t="shared" si="257"/>
        <v>0</v>
      </c>
      <c r="AA2301" s="45">
        <f t="shared" si="261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ht="14.25" spans="1:34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2915</v>
      </c>
      <c r="F2302" s="51" t="s">
        <v>2916</v>
      </c>
      <c r="G2302" s="51" t="s">
        <v>2915</v>
      </c>
      <c r="H2302" s="51" t="s">
        <v>2844</v>
      </c>
      <c r="I2302" s="20" t="s">
        <v>2845</v>
      </c>
      <c r="J2302" s="20" t="s">
        <v>2846</v>
      </c>
      <c r="K2302" s="20" t="str">
        <f>VLOOKUP(H2302,[1]媒体表!C:T,18,0)</f>
        <v>北京多彩</v>
      </c>
      <c r="L2302" s="52" t="s">
        <v>2915</v>
      </c>
      <c r="M2302" s="51"/>
      <c r="N2302" s="51" t="s">
        <v>110</v>
      </c>
      <c r="O2302" s="45" t="s">
        <v>43</v>
      </c>
      <c r="P2302" s="52">
        <v>0.1088</v>
      </c>
      <c r="Q2302" s="57"/>
      <c r="R2302" s="51"/>
      <c r="S2302" s="45">
        <v>481453.58</v>
      </c>
      <c r="T2302" s="45"/>
      <c r="U2302" s="45">
        <v>0</v>
      </c>
      <c r="V2302" s="45">
        <f t="shared" si="260"/>
        <v>481453.58</v>
      </c>
      <c r="W2302" s="32">
        <f t="shared" si="258"/>
        <v>0</v>
      </c>
      <c r="X2302" s="32"/>
      <c r="Y2302" s="32">
        <f t="shared" si="262"/>
        <v>0</v>
      </c>
      <c r="Z2302" s="55">
        <f t="shared" si="257"/>
        <v>0</v>
      </c>
      <c r="AA2302" s="45">
        <f t="shared" si="261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ht="14.25" spans="1:34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2844</v>
      </c>
      <c r="I2303" s="20" t="s">
        <v>2845</v>
      </c>
      <c r="J2303" s="20" t="s">
        <v>2846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0"/>
        <v>73871</v>
      </c>
      <c r="W2303" s="32">
        <f t="shared" si="258"/>
        <v>0</v>
      </c>
      <c r="X2303" s="32"/>
      <c r="Y2303" s="32">
        <f t="shared" si="262"/>
        <v>0</v>
      </c>
      <c r="Z2303" s="55">
        <f t="shared" si="257"/>
        <v>0</v>
      </c>
      <c r="AA2303" s="45">
        <f t="shared" si="261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ht="14.25" spans="1:34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2237</v>
      </c>
      <c r="F2304" s="51" t="s">
        <v>2237</v>
      </c>
      <c r="G2304" s="51" t="s">
        <v>2237</v>
      </c>
      <c r="H2304" s="51" t="s">
        <v>2844</v>
      </c>
      <c r="I2304" s="20" t="s">
        <v>2845</v>
      </c>
      <c r="J2304" s="20" t="s">
        <v>2846</v>
      </c>
      <c r="K2304" s="20" t="str">
        <f>VLOOKUP(H2304,[1]媒体表!C:T,18,0)</f>
        <v>北京多彩</v>
      </c>
      <c r="L2304" s="52" t="s">
        <v>2238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0"/>
        <v>6268.48</v>
      </c>
      <c r="W2304" s="32">
        <f t="shared" si="258"/>
        <v>0</v>
      </c>
      <c r="X2304" s="32"/>
      <c r="Y2304" s="32">
        <f t="shared" si="262"/>
        <v>0</v>
      </c>
      <c r="Z2304" s="55">
        <f t="shared" si="257"/>
        <v>0</v>
      </c>
      <c r="AA2304" s="45">
        <f t="shared" si="261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ht="14.25" spans="1:34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2844</v>
      </c>
      <c r="I2305" s="20" t="s">
        <v>2845</v>
      </c>
      <c r="J2305" s="20" t="s">
        <v>2846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0"/>
        <v>42964.3</v>
      </c>
      <c r="W2305" s="32">
        <f t="shared" si="258"/>
        <v>0</v>
      </c>
      <c r="X2305" s="32"/>
      <c r="Y2305" s="32">
        <f t="shared" si="262"/>
        <v>0</v>
      </c>
      <c r="Z2305" s="55">
        <f t="shared" si="257"/>
        <v>0</v>
      </c>
      <c r="AA2305" s="45">
        <f t="shared" si="261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ht="14.25" spans="1:34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2917</v>
      </c>
      <c r="F2306" s="51" t="s">
        <v>2918</v>
      </c>
      <c r="G2306" s="51" t="s">
        <v>2917</v>
      </c>
      <c r="H2306" s="51" t="s">
        <v>2844</v>
      </c>
      <c r="I2306" s="20" t="s">
        <v>2845</v>
      </c>
      <c r="J2306" s="20" t="s">
        <v>2846</v>
      </c>
      <c r="K2306" s="20" t="str">
        <f>VLOOKUP(H2306,[1]媒体表!C:T,18,0)</f>
        <v>北京多彩</v>
      </c>
      <c r="L2306" s="52" t="s">
        <v>2917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0"/>
        <v>26818.16</v>
      </c>
      <c r="W2306" s="32">
        <f t="shared" si="258"/>
        <v>0</v>
      </c>
      <c r="X2306" s="32"/>
      <c r="Y2306" s="32">
        <f t="shared" si="262"/>
        <v>0</v>
      </c>
      <c r="Z2306" s="55">
        <f t="shared" si="257"/>
        <v>0</v>
      </c>
      <c r="AA2306" s="45">
        <f t="shared" si="261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ht="14.25" spans="1:34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2844</v>
      </c>
      <c r="I2307" s="20" t="s">
        <v>2845</v>
      </c>
      <c r="J2307" s="20" t="s">
        <v>2846</v>
      </c>
      <c r="K2307" s="20" t="str">
        <f>VLOOKUP(H2307,[1]媒体表!C:T,18,0)</f>
        <v>北京多彩</v>
      </c>
      <c r="L2307" s="52" t="s">
        <v>2892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0"/>
        <v>234649.4</v>
      </c>
      <c r="W2307" s="32">
        <f t="shared" si="258"/>
        <v>0</v>
      </c>
      <c r="X2307" s="32"/>
      <c r="Y2307" s="32">
        <f t="shared" si="262"/>
        <v>0</v>
      </c>
      <c r="Z2307" s="55">
        <f t="shared" si="257"/>
        <v>0</v>
      </c>
      <c r="AA2307" s="45">
        <f t="shared" si="261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ht="14.25" spans="1:34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2844</v>
      </c>
      <c r="I2308" s="20" t="s">
        <v>2845</v>
      </c>
      <c r="J2308" s="20" t="s">
        <v>2846</v>
      </c>
      <c r="K2308" s="20" t="str">
        <f>VLOOKUP(H2308,[1]媒体表!C:T,18,0)</f>
        <v>北京多彩</v>
      </c>
      <c r="L2308" s="52" t="s">
        <v>2919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0"/>
        <v>116302.96</v>
      </c>
      <c r="W2308" s="32">
        <f t="shared" si="258"/>
        <v>0</v>
      </c>
      <c r="X2308" s="32"/>
      <c r="Y2308" s="32">
        <f t="shared" si="262"/>
        <v>0</v>
      </c>
      <c r="Z2308" s="55">
        <f t="shared" si="257"/>
        <v>0</v>
      </c>
      <c r="AA2308" s="45">
        <f t="shared" si="261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ht="14.25" spans="1:34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2909</v>
      </c>
      <c r="F2309" s="51" t="s">
        <v>2909</v>
      </c>
      <c r="G2309" s="51" t="s">
        <v>2909</v>
      </c>
      <c r="H2309" s="51" t="s">
        <v>2844</v>
      </c>
      <c r="I2309" s="20" t="s">
        <v>2845</v>
      </c>
      <c r="J2309" s="20" t="s">
        <v>2846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</v>
      </c>
      <c r="T2309" s="45"/>
      <c r="U2309" s="45">
        <v>0</v>
      </c>
      <c r="V2309" s="45">
        <f t="shared" si="260"/>
        <v>78797.07</v>
      </c>
      <c r="W2309" s="32">
        <f t="shared" si="258"/>
        <v>0</v>
      </c>
      <c r="X2309" s="32"/>
      <c r="Y2309" s="32">
        <f t="shared" si="262"/>
        <v>0</v>
      </c>
      <c r="Z2309" s="55">
        <f t="shared" si="257"/>
        <v>0</v>
      </c>
      <c r="AA2309" s="45">
        <f t="shared" si="261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ht="14.25" spans="1:34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2920</v>
      </c>
      <c r="F2310" s="51" t="s">
        <v>2920</v>
      </c>
      <c r="G2310" s="51" t="s">
        <v>2920</v>
      </c>
      <c r="H2310" s="51" t="s">
        <v>2844</v>
      </c>
      <c r="I2310" s="20" t="s">
        <v>2845</v>
      </c>
      <c r="J2310" s="20" t="s">
        <v>2846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45" t="s">
        <v>43</v>
      </c>
      <c r="P2310" s="52">
        <v>0.14</v>
      </c>
      <c r="Q2310" s="57"/>
      <c r="R2310" s="51"/>
      <c r="S2310" s="45">
        <v>131506.92</v>
      </c>
      <c r="T2310" s="45"/>
      <c r="U2310" s="45">
        <v>4197.11</v>
      </c>
      <c r="V2310" s="45">
        <f t="shared" si="260"/>
        <v>127309.81</v>
      </c>
      <c r="W2310" s="32">
        <f t="shared" si="258"/>
        <v>3829.862875</v>
      </c>
      <c r="X2310" s="32"/>
      <c r="Y2310" s="32">
        <f t="shared" si="262"/>
        <v>3829.862875</v>
      </c>
      <c r="Z2310" s="55">
        <f t="shared" ref="Z2310:Z2373" si="263">U2310-W2310</f>
        <v>367.247125</v>
      </c>
      <c r="AA2310" s="45">
        <f t="shared" si="261"/>
        <v>4197.11</v>
      </c>
      <c r="AB2310" s="56">
        <v>0.05</v>
      </c>
      <c r="AC2310" s="51"/>
      <c r="AD2310" s="51"/>
      <c r="AE2310" s="51"/>
      <c r="AF2310" s="51" t="s">
        <v>44</v>
      </c>
      <c r="AG2310" s="56">
        <v>0.46</v>
      </c>
      <c r="AH2310" s="38" t="e">
        <v>#N/A</v>
      </c>
    </row>
    <row r="2311" ht="14.25" spans="1:34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2844</v>
      </c>
      <c r="I2311" s="20" t="s">
        <v>2845</v>
      </c>
      <c r="J2311" s="20" t="s">
        <v>2846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45">
        <v>88510.64</v>
      </c>
      <c r="T2311" s="45"/>
      <c r="U2311" s="54">
        <v>0</v>
      </c>
      <c r="V2311" s="45">
        <f t="shared" si="260"/>
        <v>88510.64</v>
      </c>
      <c r="W2311" s="32">
        <f t="shared" ref="W2311:W2315" si="264">U2311*(1+AG2311)/(1+AG2311+P2311)</f>
        <v>0</v>
      </c>
      <c r="X2311" s="32"/>
      <c r="Y2311" s="32">
        <f t="shared" si="262"/>
        <v>0</v>
      </c>
      <c r="Z2311" s="55">
        <f t="shared" si="263"/>
        <v>0</v>
      </c>
      <c r="AA2311" s="45">
        <f t="shared" si="261"/>
        <v>0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ht="14.25" spans="1:34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2921</v>
      </c>
      <c r="F2312" s="51" t="s">
        <v>2921</v>
      </c>
      <c r="G2312" s="51" t="s">
        <v>2921</v>
      </c>
      <c r="H2312" s="51" t="s">
        <v>2844</v>
      </c>
      <c r="I2312" s="20" t="s">
        <v>2845</v>
      </c>
      <c r="J2312" s="20" t="s">
        <v>2846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45" t="s">
        <v>43</v>
      </c>
      <c r="P2312" s="52">
        <v>0.09</v>
      </c>
      <c r="Q2312" s="57"/>
      <c r="R2312" s="51"/>
      <c r="S2312" s="45">
        <v>1296224.29</v>
      </c>
      <c r="T2312" s="45"/>
      <c r="U2312" s="45">
        <v>191798.98</v>
      </c>
      <c r="V2312" s="45">
        <f t="shared" si="260"/>
        <v>1104425.31</v>
      </c>
      <c r="W2312" s="32">
        <f t="shared" si="264"/>
        <v>180662.265032258</v>
      </c>
      <c r="X2312" s="32"/>
      <c r="Y2312" s="32">
        <f t="shared" si="262"/>
        <v>180662.265032258</v>
      </c>
      <c r="Z2312" s="55">
        <f t="shared" si="263"/>
        <v>11136.714967742</v>
      </c>
      <c r="AA2312" s="45">
        <f t="shared" si="261"/>
        <v>191798.98</v>
      </c>
      <c r="AB2312" s="56">
        <v>0.05</v>
      </c>
      <c r="AC2312" s="51"/>
      <c r="AD2312" s="51"/>
      <c r="AE2312" s="51"/>
      <c r="AF2312" s="51" t="s">
        <v>44</v>
      </c>
      <c r="AG2312" s="56">
        <v>0.46</v>
      </c>
      <c r="AH2312" s="38" t="e">
        <v>#N/A</v>
      </c>
    </row>
    <row r="2313" ht="14.25" spans="1:34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2921</v>
      </c>
      <c r="F2313" s="51" t="s">
        <v>2921</v>
      </c>
      <c r="G2313" s="51" t="s">
        <v>2921</v>
      </c>
      <c r="H2313" s="51" t="s">
        <v>2844</v>
      </c>
      <c r="I2313" s="20" t="s">
        <v>2845</v>
      </c>
      <c r="J2313" s="20" t="s">
        <v>2846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45">
        <v>194042.55</v>
      </c>
      <c r="T2313" s="45"/>
      <c r="U2313" s="45">
        <v>0</v>
      </c>
      <c r="V2313" s="45">
        <f t="shared" si="260"/>
        <v>194042.55</v>
      </c>
      <c r="W2313" s="32">
        <f t="shared" si="264"/>
        <v>0</v>
      </c>
      <c r="X2313" s="32"/>
      <c r="Y2313" s="32">
        <f t="shared" si="262"/>
        <v>0</v>
      </c>
      <c r="Z2313" s="55">
        <f t="shared" si="263"/>
        <v>0</v>
      </c>
      <c r="AA2313" s="45">
        <f t="shared" si="261"/>
        <v>0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ht="14.25" spans="1:34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2844</v>
      </c>
      <c r="I2314" s="20" t="s">
        <v>2845</v>
      </c>
      <c r="J2314" s="20" t="s">
        <v>2846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45">
        <v>207030.75</v>
      </c>
      <c r="T2314" s="45"/>
      <c r="U2314" s="45">
        <v>126647.59</v>
      </c>
      <c r="V2314" s="45">
        <f t="shared" si="260"/>
        <v>80383.16</v>
      </c>
      <c r="W2314" s="32">
        <f t="shared" si="264"/>
        <v>122188.167816901</v>
      </c>
      <c r="X2314" s="32"/>
      <c r="Y2314" s="32">
        <f t="shared" si="262"/>
        <v>122188.167816901</v>
      </c>
      <c r="Z2314" s="55">
        <f t="shared" si="263"/>
        <v>4459.42218309859</v>
      </c>
      <c r="AA2314" s="45">
        <f t="shared" si="261"/>
        <v>126647.59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ht="14.25" spans="1:34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2922</v>
      </c>
      <c r="F2315" s="51" t="s">
        <v>2923</v>
      </c>
      <c r="G2315" s="51" t="s">
        <v>2922</v>
      </c>
      <c r="H2315" s="51" t="s">
        <v>2844</v>
      </c>
      <c r="I2315" s="20" t="s">
        <v>2845</v>
      </c>
      <c r="J2315" s="20" t="s">
        <v>2846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0"/>
        <v>5603.82</v>
      </c>
      <c r="W2315" s="32">
        <f t="shared" si="264"/>
        <v>0</v>
      </c>
      <c r="X2315" s="32"/>
      <c r="Y2315" s="32">
        <f t="shared" si="262"/>
        <v>0</v>
      </c>
      <c r="Z2315" s="55">
        <f t="shared" si="263"/>
        <v>0</v>
      </c>
      <c r="AA2315" s="45">
        <f t="shared" si="261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ht="14.25" spans="1:34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2844</v>
      </c>
      <c r="I2316" s="20" t="s">
        <v>2845</v>
      </c>
      <c r="J2316" s="20" t="s">
        <v>2846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0"/>
        <v>12.6599999999999</v>
      </c>
      <c r="W2316" s="32">
        <f>U2316*(1+AG2316)/(1+P2316)</f>
        <v>8936.13451851852</v>
      </c>
      <c r="X2316" s="32"/>
      <c r="Y2316" s="32">
        <f t="shared" si="262"/>
        <v>8936.13451851852</v>
      </c>
      <c r="Z2316" s="55">
        <f t="shared" si="263"/>
        <v>-130.45451851852</v>
      </c>
      <c r="AA2316" s="45">
        <f t="shared" si="261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ht="14.25" spans="1:34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2844</v>
      </c>
      <c r="I2317" s="20" t="s">
        <v>2845</v>
      </c>
      <c r="J2317" s="20" t="s">
        <v>2846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0.09</v>
      </c>
      <c r="Q2317" s="57"/>
      <c r="R2317" s="51"/>
      <c r="S2317" s="45">
        <v>58510.64</v>
      </c>
      <c r="T2317" s="45"/>
      <c r="U2317" s="45">
        <v>3185.29</v>
      </c>
      <c r="V2317" s="45">
        <f t="shared" si="260"/>
        <v>55325.35</v>
      </c>
      <c r="W2317" s="32">
        <f t="shared" ref="W2317:W2380" si="265">U2317*(1+AG2317)/(1+AG2317+P2317)</f>
        <v>2994.1726</v>
      </c>
      <c r="X2317" s="32"/>
      <c r="Y2317" s="32">
        <f t="shared" si="262"/>
        <v>2994.1726</v>
      </c>
      <c r="Z2317" s="55">
        <f t="shared" si="263"/>
        <v>191.1174</v>
      </c>
      <c r="AA2317" s="45">
        <f t="shared" si="261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0.41</v>
      </c>
      <c r="AH2317" s="38" t="e">
        <v>#N/A</v>
      </c>
    </row>
    <row r="2318" ht="14.25" spans="1:34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2844</v>
      </c>
      <c r="I2318" s="20" t="s">
        <v>2845</v>
      </c>
      <c r="J2318" s="20" t="s">
        <v>2846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45">
        <v>12308.76</v>
      </c>
      <c r="T2318" s="45"/>
      <c r="U2318" s="45">
        <v>0</v>
      </c>
      <c r="V2318" s="45">
        <f t="shared" si="260"/>
        <v>12308.76</v>
      </c>
      <c r="W2318" s="32">
        <f t="shared" si="265"/>
        <v>0</v>
      </c>
      <c r="X2318" s="32"/>
      <c r="Y2318" s="32">
        <f t="shared" si="262"/>
        <v>0</v>
      </c>
      <c r="Z2318" s="55">
        <f t="shared" si="263"/>
        <v>0</v>
      </c>
      <c r="AA2318" s="45">
        <f t="shared" si="261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0.46</v>
      </c>
      <c r="AH2318" s="38" t="e">
        <v>#N/A</v>
      </c>
    </row>
    <row r="2319" ht="14.25" spans="1:34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2844</v>
      </c>
      <c r="I2319" s="20" t="s">
        <v>2845</v>
      </c>
      <c r="J2319" s="20" t="s">
        <v>2846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0.07</v>
      </c>
      <c r="Q2319" s="57"/>
      <c r="R2319" s="51"/>
      <c r="S2319" s="45">
        <v>192363.01</v>
      </c>
      <c r="T2319" s="45"/>
      <c r="U2319" s="45">
        <v>137875.14</v>
      </c>
      <c r="V2319" s="45">
        <f t="shared" si="260"/>
        <v>54487.87</v>
      </c>
      <c r="W2319" s="32">
        <f t="shared" si="265"/>
        <v>131172.87625</v>
      </c>
      <c r="X2319" s="32"/>
      <c r="Y2319" s="32">
        <f t="shared" si="262"/>
        <v>131172.87625</v>
      </c>
      <c r="Z2319" s="55">
        <f t="shared" si="263"/>
        <v>6702.26375000001</v>
      </c>
      <c r="AA2319" s="45">
        <f t="shared" si="261"/>
        <v>137875.14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ht="14.25" spans="1:34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2896</v>
      </c>
      <c r="F2320" s="51" t="s">
        <v>2897</v>
      </c>
      <c r="G2320" s="51" t="s">
        <v>2896</v>
      </c>
      <c r="H2320" s="51" t="s">
        <v>2844</v>
      </c>
      <c r="I2320" s="20" t="s">
        <v>2845</v>
      </c>
      <c r="J2320" s="20" t="s">
        <v>2846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0.09</v>
      </c>
      <c r="Q2320" s="57"/>
      <c r="R2320" s="51"/>
      <c r="S2320" s="45">
        <v>1420752.86</v>
      </c>
      <c r="T2320" s="45"/>
      <c r="U2320" s="45">
        <v>1343784.6</v>
      </c>
      <c r="V2320" s="45">
        <f t="shared" si="260"/>
        <v>76968.26</v>
      </c>
      <c r="W2320" s="32">
        <f t="shared" si="265"/>
        <v>1263157.524</v>
      </c>
      <c r="X2320" s="32"/>
      <c r="Y2320" s="32">
        <f t="shared" si="262"/>
        <v>1263157.524</v>
      </c>
      <c r="Z2320" s="55">
        <f t="shared" si="263"/>
        <v>80627.0760000001</v>
      </c>
      <c r="AA2320" s="45">
        <f t="shared" si="261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ht="14.25" spans="1:34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2924</v>
      </c>
      <c r="F2321" s="51" t="s">
        <v>2924</v>
      </c>
      <c r="G2321" s="51" t="s">
        <v>2924</v>
      </c>
      <c r="H2321" s="51" t="s">
        <v>2844</v>
      </c>
      <c r="I2321" s="20" t="s">
        <v>2845</v>
      </c>
      <c r="J2321" s="20" t="s">
        <v>2846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192340.86</v>
      </c>
      <c r="T2321" s="45"/>
      <c r="U2321" s="45">
        <v>0</v>
      </c>
      <c r="V2321" s="45">
        <f t="shared" si="260"/>
        <v>192340.86</v>
      </c>
      <c r="W2321" s="32">
        <f t="shared" si="265"/>
        <v>0</v>
      </c>
      <c r="X2321" s="32"/>
      <c r="Y2321" s="32">
        <f t="shared" si="262"/>
        <v>0</v>
      </c>
      <c r="Z2321" s="55">
        <f t="shared" si="263"/>
        <v>0</v>
      </c>
      <c r="AA2321" s="45">
        <f t="shared" si="261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ht="14.25" spans="1:34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2878</v>
      </c>
      <c r="F2322" s="51" t="s">
        <v>2878</v>
      </c>
      <c r="G2322" s="51" t="s">
        <v>2878</v>
      </c>
      <c r="H2322" s="51" t="s">
        <v>2844</v>
      </c>
      <c r="I2322" s="20" t="s">
        <v>2845</v>
      </c>
      <c r="J2322" s="20" t="s">
        <v>2846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42553.19</v>
      </c>
      <c r="V2322" s="45">
        <f t="shared" si="260"/>
        <v>0</v>
      </c>
      <c r="W2322" s="32">
        <f t="shared" si="265"/>
        <v>39999.9986</v>
      </c>
      <c r="X2322" s="32"/>
      <c r="Y2322" s="32">
        <f t="shared" si="262"/>
        <v>39999.9986</v>
      </c>
      <c r="Z2322" s="55">
        <f t="shared" si="263"/>
        <v>2553.1914</v>
      </c>
      <c r="AA2322" s="45">
        <f t="shared" si="261"/>
        <v>42553.19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ht="14.25" spans="1:34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1541</v>
      </c>
      <c r="G2323" s="51" t="s">
        <v>1541</v>
      </c>
      <c r="H2323" s="51" t="s">
        <v>2844</v>
      </c>
      <c r="I2323" s="20" t="s">
        <v>2845</v>
      </c>
      <c r="J2323" s="20" t="s">
        <v>2846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45">
        <v>0</v>
      </c>
      <c r="T2323" s="45"/>
      <c r="U2323" s="45">
        <v>0</v>
      </c>
      <c r="V2323" s="45">
        <f t="shared" si="260"/>
        <v>0</v>
      </c>
      <c r="W2323" s="32">
        <f t="shared" si="265"/>
        <v>0</v>
      </c>
      <c r="X2323" s="32"/>
      <c r="Y2323" s="32">
        <f t="shared" si="262"/>
        <v>0</v>
      </c>
      <c r="Z2323" s="55">
        <f t="shared" si="263"/>
        <v>0</v>
      </c>
      <c r="AA2323" s="45">
        <f t="shared" si="261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ht="14.25" spans="1:34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2844</v>
      </c>
      <c r="I2324" s="20" t="s">
        <v>2845</v>
      </c>
      <c r="J2324" s="20" t="s">
        <v>2846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45">
        <v>47440.19</v>
      </c>
      <c r="T2324" s="45"/>
      <c r="U2324" s="54">
        <v>47440.19</v>
      </c>
      <c r="V2324" s="45">
        <f t="shared" si="260"/>
        <v>0</v>
      </c>
      <c r="W2324" s="32">
        <f t="shared" si="265"/>
        <v>46175.1182666667</v>
      </c>
      <c r="X2324" s="32"/>
      <c r="Y2324" s="32">
        <f t="shared" si="262"/>
        <v>46175.1182666667</v>
      </c>
      <c r="Z2324" s="55">
        <f t="shared" si="263"/>
        <v>1265.07173333334</v>
      </c>
      <c r="AA2324" s="45">
        <f t="shared" si="261"/>
        <v>47440.19</v>
      </c>
      <c r="AB2324" s="56">
        <v>0.05</v>
      </c>
      <c r="AC2324" s="51"/>
      <c r="AD2324" s="51"/>
      <c r="AE2324" s="51"/>
      <c r="AF2324" s="51" t="s">
        <v>44</v>
      </c>
      <c r="AG2324" s="56">
        <v>0.46</v>
      </c>
      <c r="AH2324" s="38" t="e">
        <v>#N/A</v>
      </c>
    </row>
    <row r="2325" ht="14.25" spans="1:34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2844</v>
      </c>
      <c r="I2325" s="20" t="s">
        <v>2845</v>
      </c>
      <c r="J2325" s="20" t="s">
        <v>2846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45">
        <v>176958.24</v>
      </c>
      <c r="T2325" s="45"/>
      <c r="U2325" s="54">
        <v>98762.31</v>
      </c>
      <c r="V2325" s="45">
        <f t="shared" si="260"/>
        <v>78195.93</v>
      </c>
      <c r="W2325" s="32">
        <f t="shared" si="265"/>
        <v>92836.5714</v>
      </c>
      <c r="X2325" s="32"/>
      <c r="Y2325" s="32">
        <f t="shared" si="262"/>
        <v>92836.5714</v>
      </c>
      <c r="Z2325" s="55">
        <f t="shared" si="263"/>
        <v>5925.7386</v>
      </c>
      <c r="AA2325" s="45">
        <f t="shared" si="261"/>
        <v>98762.31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ht="14.25" spans="1:34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2879</v>
      </c>
      <c r="F2326" s="51" t="s">
        <v>2879</v>
      </c>
      <c r="G2326" s="51" t="s">
        <v>2879</v>
      </c>
      <c r="H2326" s="51" t="s">
        <v>2844</v>
      </c>
      <c r="I2326" s="20" t="s">
        <v>2845</v>
      </c>
      <c r="J2326" s="20" t="s">
        <v>2846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</v>
      </c>
      <c r="Q2326" s="57"/>
      <c r="R2326" s="51"/>
      <c r="S2326" s="45">
        <v>28147.41</v>
      </c>
      <c r="T2326" s="45"/>
      <c r="U2326" s="54">
        <v>28147.41</v>
      </c>
      <c r="V2326" s="45">
        <f t="shared" si="260"/>
        <v>0</v>
      </c>
      <c r="W2326" s="32">
        <f t="shared" si="265"/>
        <v>25605.0632903226</v>
      </c>
      <c r="X2326" s="32"/>
      <c r="Y2326" s="32">
        <f t="shared" si="262"/>
        <v>25605.0632903226</v>
      </c>
      <c r="Z2326" s="55">
        <f t="shared" si="263"/>
        <v>2542.34670967742</v>
      </c>
      <c r="AA2326" s="45">
        <f t="shared" si="261"/>
        <v>28147.41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ht="14.25" spans="1:34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2925</v>
      </c>
      <c r="F2327" s="51" t="s">
        <v>2925</v>
      </c>
      <c r="G2327" s="51" t="s">
        <v>2925</v>
      </c>
      <c r="H2327" s="51" t="s">
        <v>2844</v>
      </c>
      <c r="I2327" s="20" t="s">
        <v>2845</v>
      </c>
      <c r="J2327" s="20" t="s">
        <v>2846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0"/>
        <v>53421.32</v>
      </c>
      <c r="W2327" s="32">
        <f t="shared" si="265"/>
        <v>0</v>
      </c>
      <c r="X2327" s="32"/>
      <c r="Y2327" s="32">
        <f t="shared" si="262"/>
        <v>0</v>
      </c>
      <c r="Z2327" s="55">
        <f t="shared" si="263"/>
        <v>0</v>
      </c>
      <c r="AA2327" s="45">
        <f t="shared" si="261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ht="14.25" spans="1:34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2926</v>
      </c>
      <c r="F2328" s="51" t="s">
        <v>2926</v>
      </c>
      <c r="G2328" s="51" t="s">
        <v>2926</v>
      </c>
      <c r="H2328" s="51" t="s">
        <v>2844</v>
      </c>
      <c r="I2328" s="20" t="s">
        <v>2845</v>
      </c>
      <c r="J2328" s="20" t="s">
        <v>2846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0.04</v>
      </c>
      <c r="Q2328" s="57"/>
      <c r="R2328" s="51"/>
      <c r="S2328" s="45">
        <v>260206.98</v>
      </c>
      <c r="T2328" s="45"/>
      <c r="U2328" s="45">
        <v>185582.66</v>
      </c>
      <c r="V2328" s="45">
        <f t="shared" si="260"/>
        <v>74624.32</v>
      </c>
      <c r="W2328" s="32">
        <f t="shared" si="265"/>
        <v>180463.138344828</v>
      </c>
      <c r="X2328" s="32"/>
      <c r="Y2328" s="32">
        <f t="shared" si="262"/>
        <v>180463.138344828</v>
      </c>
      <c r="Z2328" s="55">
        <f t="shared" si="263"/>
        <v>5119.52165517243</v>
      </c>
      <c r="AA2328" s="45">
        <f t="shared" si="261"/>
        <v>185582.66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ht="14.25" spans="1:34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2894</v>
      </c>
      <c r="F2329" s="51" t="s">
        <v>2894</v>
      </c>
      <c r="G2329" s="51" t="s">
        <v>2894</v>
      </c>
      <c r="H2329" s="51" t="s">
        <v>2844</v>
      </c>
      <c r="I2329" s="20" t="s">
        <v>2845</v>
      </c>
      <c r="J2329" s="20" t="s">
        <v>2846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45">
        <v>74009</v>
      </c>
      <c r="T2329" s="45"/>
      <c r="U2329" s="45">
        <v>42831.17</v>
      </c>
      <c r="V2329" s="45">
        <f t="shared" si="260"/>
        <v>31177.83</v>
      </c>
      <c r="W2329" s="32">
        <f t="shared" si="265"/>
        <v>40344.1988387097</v>
      </c>
      <c r="X2329" s="32"/>
      <c r="Y2329" s="32">
        <f t="shared" si="262"/>
        <v>40344.1988387097</v>
      </c>
      <c r="Z2329" s="55">
        <f t="shared" si="263"/>
        <v>2486.97116129033</v>
      </c>
      <c r="AA2329" s="45">
        <f t="shared" si="261"/>
        <v>42831.17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ht="14.25" spans="1:34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2894</v>
      </c>
      <c r="F2330" s="51" t="s">
        <v>2894</v>
      </c>
      <c r="G2330" s="51" t="s">
        <v>2894</v>
      </c>
      <c r="H2330" s="51" t="s">
        <v>2844</v>
      </c>
      <c r="I2330" s="20" t="s">
        <v>2845</v>
      </c>
      <c r="J2330" s="20" t="s">
        <v>2846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</v>
      </c>
      <c r="Q2330" s="57"/>
      <c r="R2330" s="51"/>
      <c r="S2330" s="45">
        <v>76950.35</v>
      </c>
      <c r="T2330" s="45"/>
      <c r="U2330" s="45">
        <v>0</v>
      </c>
      <c r="V2330" s="45">
        <f t="shared" si="260"/>
        <v>76950.35</v>
      </c>
      <c r="W2330" s="32">
        <f t="shared" si="265"/>
        <v>0</v>
      </c>
      <c r="X2330" s="32"/>
      <c r="Y2330" s="32">
        <f t="shared" si="262"/>
        <v>0</v>
      </c>
      <c r="Z2330" s="55">
        <f t="shared" si="263"/>
        <v>0</v>
      </c>
      <c r="AA2330" s="45">
        <f t="shared" si="261"/>
        <v>0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ht="14.25" spans="1:34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2927</v>
      </c>
      <c r="F2331" s="51" t="s">
        <v>2927</v>
      </c>
      <c r="G2331" s="51" t="s">
        <v>2927</v>
      </c>
      <c r="H2331" s="51" t="s">
        <v>2844</v>
      </c>
      <c r="I2331" s="20" t="s">
        <v>2845</v>
      </c>
      <c r="J2331" s="20" t="s">
        <v>2846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262728.07</v>
      </c>
      <c r="T2331" s="45"/>
      <c r="U2331" s="45">
        <v>0</v>
      </c>
      <c r="V2331" s="45">
        <f t="shared" si="260"/>
        <v>262728.07</v>
      </c>
      <c r="W2331" s="32">
        <f t="shared" si="265"/>
        <v>0</v>
      </c>
      <c r="X2331" s="32"/>
      <c r="Y2331" s="32">
        <f t="shared" si="262"/>
        <v>0</v>
      </c>
      <c r="Z2331" s="55">
        <f t="shared" si="263"/>
        <v>0</v>
      </c>
      <c r="AA2331" s="45">
        <f t="shared" si="261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ht="14.25" spans="1:34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2928</v>
      </c>
      <c r="F2332" s="51" t="s">
        <v>2928</v>
      </c>
      <c r="G2332" s="51" t="s">
        <v>2928</v>
      </c>
      <c r="H2332" s="51" t="s">
        <v>2844</v>
      </c>
      <c r="I2332" s="20" t="s">
        <v>2845</v>
      </c>
      <c r="J2332" s="20" t="s">
        <v>2846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45">
        <v>738062.73</v>
      </c>
      <c r="T2332" s="45"/>
      <c r="U2332" s="45">
        <v>514788.8</v>
      </c>
      <c r="V2332" s="45">
        <f t="shared" si="260"/>
        <v>223273.93</v>
      </c>
      <c r="W2332" s="32">
        <f t="shared" si="265"/>
        <v>474413.207843137</v>
      </c>
      <c r="X2332" s="32"/>
      <c r="Y2332" s="32">
        <f t="shared" si="262"/>
        <v>474413.207843137</v>
      </c>
      <c r="Z2332" s="55">
        <f t="shared" si="263"/>
        <v>40375.5921568627</v>
      </c>
      <c r="AA2332" s="45">
        <f t="shared" si="261"/>
        <v>514788.8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ht="14.25" spans="1:34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2929</v>
      </c>
      <c r="F2333" s="51" t="s">
        <v>2929</v>
      </c>
      <c r="G2333" s="51" t="s">
        <v>2929</v>
      </c>
      <c r="H2333" s="51" t="s">
        <v>2844</v>
      </c>
      <c r="I2333" s="20" t="s">
        <v>2845</v>
      </c>
      <c r="J2333" s="20" t="s">
        <v>2846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45">
        <v>175793.32</v>
      </c>
      <c r="T2333" s="45"/>
      <c r="U2333" s="45">
        <v>123044.22</v>
      </c>
      <c r="V2333" s="45">
        <f t="shared" si="260"/>
        <v>52749.1</v>
      </c>
      <c r="W2333" s="32">
        <f t="shared" si="265"/>
        <v>114139.704078947</v>
      </c>
      <c r="X2333" s="32"/>
      <c r="Y2333" s="32">
        <f t="shared" si="262"/>
        <v>114139.704078947</v>
      </c>
      <c r="Z2333" s="55">
        <f t="shared" si="263"/>
        <v>8904.51592105265</v>
      </c>
      <c r="AA2333" s="45">
        <f t="shared" si="261"/>
        <v>123044.22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ht="14.25" spans="1:34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2930</v>
      </c>
      <c r="F2334" s="51" t="s">
        <v>2930</v>
      </c>
      <c r="G2334" s="51" t="s">
        <v>2930</v>
      </c>
      <c r="H2334" s="51" t="s">
        <v>2844</v>
      </c>
      <c r="I2334" s="20" t="s">
        <v>2845</v>
      </c>
      <c r="J2334" s="20" t="s">
        <v>2846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8.61999999999989</v>
      </c>
      <c r="T2334" s="45"/>
      <c r="U2334" s="45">
        <v>0</v>
      </c>
      <c r="V2334" s="45">
        <f t="shared" si="260"/>
        <v>8.61999999999989</v>
      </c>
      <c r="W2334" s="32">
        <f t="shared" si="265"/>
        <v>0</v>
      </c>
      <c r="X2334" s="32"/>
      <c r="Y2334" s="32">
        <f t="shared" si="262"/>
        <v>0</v>
      </c>
      <c r="Z2334" s="55">
        <f t="shared" si="263"/>
        <v>0</v>
      </c>
      <c r="AA2334" s="45">
        <f t="shared" si="261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ht="14.25" spans="1:34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1609</v>
      </c>
      <c r="F2335" s="51" t="s">
        <v>1609</v>
      </c>
      <c r="G2335" s="51" t="s">
        <v>1609</v>
      </c>
      <c r="H2335" s="51" t="s">
        <v>2844</v>
      </c>
      <c r="I2335" s="20" t="s">
        <v>2845</v>
      </c>
      <c r="J2335" s="20" t="s">
        <v>2846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76085.5875182482</v>
      </c>
      <c r="T2335" s="45"/>
      <c r="U2335" s="45">
        <v>27543.72</v>
      </c>
      <c r="V2335" s="45">
        <f t="shared" si="260"/>
        <v>48541.8675182482</v>
      </c>
      <c r="W2335" s="32">
        <f t="shared" si="265"/>
        <v>26573.8707042254</v>
      </c>
      <c r="X2335" s="32"/>
      <c r="Y2335" s="32">
        <f t="shared" si="262"/>
        <v>26573.8707042254</v>
      </c>
      <c r="Z2335" s="55">
        <f t="shared" si="263"/>
        <v>969.849295774649</v>
      </c>
      <c r="AA2335" s="45">
        <f t="shared" si="261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ht="14.25" spans="1:34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1609</v>
      </c>
      <c r="F2336" s="51" t="s">
        <v>1609</v>
      </c>
      <c r="G2336" s="51" t="s">
        <v>1609</v>
      </c>
      <c r="H2336" s="51" t="s">
        <v>2844</v>
      </c>
      <c r="I2336" s="20" t="s">
        <v>2845</v>
      </c>
      <c r="J2336" s="20" t="s">
        <v>2846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0"/>
        <v>99574.47</v>
      </c>
      <c r="W2336" s="32">
        <f t="shared" si="265"/>
        <v>0</v>
      </c>
      <c r="X2336" s="32"/>
      <c r="Y2336" s="32">
        <f t="shared" si="262"/>
        <v>0</v>
      </c>
      <c r="Z2336" s="55">
        <f t="shared" si="263"/>
        <v>0</v>
      </c>
      <c r="AA2336" s="45">
        <f t="shared" si="261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ht="14.25" spans="1:34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1609</v>
      </c>
      <c r="F2337" s="51" t="s">
        <v>1609</v>
      </c>
      <c r="G2337" s="51" t="s">
        <v>1609</v>
      </c>
      <c r="H2337" s="51" t="s">
        <v>2844</v>
      </c>
      <c r="I2337" s="20" t="s">
        <v>2845</v>
      </c>
      <c r="J2337" s="20" t="s">
        <v>2846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45">
        <v>2988843.88</v>
      </c>
      <c r="T2337" s="45"/>
      <c r="U2337" s="54">
        <v>370922.73</v>
      </c>
      <c r="V2337" s="45">
        <f t="shared" si="260"/>
        <v>2617921.15</v>
      </c>
      <c r="W2337" s="32">
        <f t="shared" si="265"/>
        <v>334288.386296296</v>
      </c>
      <c r="X2337" s="32"/>
      <c r="Y2337" s="32">
        <f t="shared" si="262"/>
        <v>334288.386296296</v>
      </c>
      <c r="Z2337" s="55">
        <f t="shared" si="263"/>
        <v>36634.3437037037</v>
      </c>
      <c r="AA2337" s="45">
        <f t="shared" si="261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ht="14.25" spans="1:34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2931</v>
      </c>
      <c r="F2338" s="51" t="s">
        <v>2931</v>
      </c>
      <c r="G2338" s="51" t="s">
        <v>2931</v>
      </c>
      <c r="H2338" s="51" t="s">
        <v>2844</v>
      </c>
      <c r="I2338" s="20" t="s">
        <v>2845</v>
      </c>
      <c r="J2338" s="20" t="s">
        <v>2846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</v>
      </c>
      <c r="V2338" s="45">
        <f t="shared" si="260"/>
        <v>0.519999999998618</v>
      </c>
      <c r="W2338" s="32">
        <f t="shared" si="265"/>
        <v>8105.057</v>
      </c>
      <c r="X2338" s="32"/>
      <c r="Y2338" s="32">
        <f t="shared" si="262"/>
        <v>8105.057</v>
      </c>
      <c r="Z2338" s="55">
        <f t="shared" si="263"/>
        <v>177.483000000001</v>
      </c>
      <c r="AA2338" s="45">
        <f t="shared" si="261"/>
        <v>8282.54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ht="14.25" spans="1:34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2932</v>
      </c>
      <c r="F2339" s="51" t="s">
        <v>2932</v>
      </c>
      <c r="G2339" s="51" t="s">
        <v>2932</v>
      </c>
      <c r="H2339" s="51" t="s">
        <v>2844</v>
      </c>
      <c r="I2339" s="20" t="s">
        <v>2845</v>
      </c>
      <c r="J2339" s="20" t="s">
        <v>2846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6">S2339+T2339-U2339</f>
        <v>24067.95</v>
      </c>
      <c r="W2339" s="32">
        <f t="shared" si="265"/>
        <v>0</v>
      </c>
      <c r="X2339" s="32"/>
      <c r="Y2339" s="32">
        <f t="shared" si="262"/>
        <v>0</v>
      </c>
      <c r="Z2339" s="55">
        <f t="shared" si="263"/>
        <v>0</v>
      </c>
      <c r="AA2339" s="45">
        <f t="shared" si="261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ht="14.25" spans="1:34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2933</v>
      </c>
      <c r="F2340" s="51" t="s">
        <v>2933</v>
      </c>
      <c r="G2340" s="51" t="s">
        <v>2933</v>
      </c>
      <c r="H2340" s="51" t="s">
        <v>2844</v>
      </c>
      <c r="I2340" s="20" t="s">
        <v>2845</v>
      </c>
      <c r="J2340" s="20" t="s">
        <v>2846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45">
        <v>1002553.18</v>
      </c>
      <c r="T2340" s="45"/>
      <c r="U2340" s="54">
        <v>340637.899999999</v>
      </c>
      <c r="V2340" s="45">
        <f t="shared" si="266"/>
        <v>661915.280000001</v>
      </c>
      <c r="W2340" s="32">
        <f t="shared" si="265"/>
        <v>315986.473026315</v>
      </c>
      <c r="X2340" s="32"/>
      <c r="Y2340" s="32">
        <f t="shared" si="262"/>
        <v>315986.473026315</v>
      </c>
      <c r="Z2340" s="55">
        <f t="shared" si="263"/>
        <v>24651.4269736842</v>
      </c>
      <c r="AA2340" s="45">
        <f t="shared" si="261"/>
        <v>340637.899999999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ht="14.25" spans="1:34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2933</v>
      </c>
      <c r="F2341" s="51" t="s">
        <v>2933</v>
      </c>
      <c r="G2341" s="51" t="s">
        <v>2933</v>
      </c>
      <c r="H2341" s="51" t="s">
        <v>2844</v>
      </c>
      <c r="I2341" s="20" t="s">
        <v>2845</v>
      </c>
      <c r="J2341" s="20" t="s">
        <v>2846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0.11</v>
      </c>
      <c r="Q2341" s="57"/>
      <c r="R2341" s="51"/>
      <c r="S2341" s="45">
        <v>363643.840000001</v>
      </c>
      <c r="T2341" s="45"/>
      <c r="U2341" s="54">
        <v>363643.840000001</v>
      </c>
      <c r="V2341" s="45">
        <f t="shared" si="266"/>
        <v>0</v>
      </c>
      <c r="W2341" s="32">
        <f t="shared" si="265"/>
        <v>338165.609171975</v>
      </c>
      <c r="X2341" s="32"/>
      <c r="Y2341" s="32">
        <f t="shared" si="262"/>
        <v>338165.609171975</v>
      </c>
      <c r="Z2341" s="55">
        <f t="shared" si="263"/>
        <v>25478.2308280256</v>
      </c>
      <c r="AA2341" s="45">
        <f t="shared" si="261"/>
        <v>363643.840000001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ht="14.25" spans="1:34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2934</v>
      </c>
      <c r="F2342" s="51" t="s">
        <v>2934</v>
      </c>
      <c r="G2342" s="51" t="s">
        <v>2934</v>
      </c>
      <c r="H2342" s="51" t="s">
        <v>2844</v>
      </c>
      <c r="I2342" s="20" t="s">
        <v>2845</v>
      </c>
      <c r="J2342" s="20" t="s">
        <v>2846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0.35</v>
      </c>
      <c r="Q2342" s="57"/>
      <c r="R2342" s="51"/>
      <c r="S2342" s="45">
        <v>240228.93</v>
      </c>
      <c r="T2342" s="45"/>
      <c r="U2342" s="54">
        <v>0</v>
      </c>
      <c r="V2342" s="45">
        <f t="shared" si="266"/>
        <v>240228.93</v>
      </c>
      <c r="W2342" s="32">
        <f t="shared" si="265"/>
        <v>0</v>
      </c>
      <c r="X2342" s="32"/>
      <c r="Y2342" s="32">
        <f t="shared" si="262"/>
        <v>0</v>
      </c>
      <c r="Z2342" s="55">
        <f t="shared" si="263"/>
        <v>0</v>
      </c>
      <c r="AA2342" s="45">
        <f t="shared" si="261"/>
        <v>0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ht="14.25" spans="1:34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2934</v>
      </c>
      <c r="F2343" s="51" t="s">
        <v>2934</v>
      </c>
      <c r="G2343" s="51" t="s">
        <v>2934</v>
      </c>
      <c r="H2343" s="51" t="s">
        <v>2844</v>
      </c>
      <c r="I2343" s="20" t="s">
        <v>2845</v>
      </c>
      <c r="J2343" s="20" t="s">
        <v>2846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45" t="s">
        <v>43</v>
      </c>
      <c r="P2343" s="52">
        <v>0.05</v>
      </c>
      <c r="Q2343" s="57"/>
      <c r="R2343" s="51"/>
      <c r="S2343" s="45">
        <v>131040.06</v>
      </c>
      <c r="T2343" s="45"/>
      <c r="U2343" s="54">
        <v>65303.11</v>
      </c>
      <c r="V2343" s="45">
        <f t="shared" si="266"/>
        <v>65736.95</v>
      </c>
      <c r="W2343" s="32">
        <f t="shared" si="265"/>
        <v>63003.7047183099</v>
      </c>
      <c r="X2343" s="32"/>
      <c r="Y2343" s="32">
        <f t="shared" si="262"/>
        <v>63003.7047183099</v>
      </c>
      <c r="Z2343" s="55">
        <f t="shared" si="263"/>
        <v>2299.40528169014</v>
      </c>
      <c r="AA2343" s="45">
        <f t="shared" si="261"/>
        <v>65303.11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ht="14.25" spans="1:34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2844</v>
      </c>
      <c r="I2344" s="20" t="s">
        <v>2845</v>
      </c>
      <c r="J2344" s="20" t="s">
        <v>2846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45">
        <v>1175806.93</v>
      </c>
      <c r="T2344" s="45"/>
      <c r="U2344" s="45">
        <v>1018159.06</v>
      </c>
      <c r="V2344" s="45">
        <f t="shared" si="266"/>
        <v>157647.87</v>
      </c>
      <c r="W2344" s="32">
        <f t="shared" si="265"/>
        <v>996341.365857143</v>
      </c>
      <c r="X2344" s="32"/>
      <c r="Y2344" s="32">
        <f t="shared" si="262"/>
        <v>996341.365857143</v>
      </c>
      <c r="Z2344" s="55">
        <f t="shared" si="263"/>
        <v>21817.6941428572</v>
      </c>
      <c r="AA2344" s="45">
        <f t="shared" si="261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ht="14.25" spans="1:34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2844</v>
      </c>
      <c r="I2345" s="20" t="s">
        <v>2845</v>
      </c>
      <c r="J2345" s="20" t="s">
        <v>2846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45">
        <v>116780.04</v>
      </c>
      <c r="T2345" s="45"/>
      <c r="U2345" s="45">
        <v>42440.4</v>
      </c>
      <c r="V2345" s="45">
        <f t="shared" si="266"/>
        <v>74339.64</v>
      </c>
      <c r="W2345" s="32">
        <f t="shared" si="265"/>
        <v>39976.1187096774</v>
      </c>
      <c r="X2345" s="32"/>
      <c r="Y2345" s="32">
        <f t="shared" si="262"/>
        <v>39976.1187096774</v>
      </c>
      <c r="Z2345" s="55">
        <f t="shared" si="263"/>
        <v>2464.28129032258</v>
      </c>
      <c r="AA2345" s="45">
        <f t="shared" si="261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ht="14.25" spans="1:34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1583</v>
      </c>
      <c r="G2346" s="51" t="s">
        <v>1541</v>
      </c>
      <c r="H2346" s="51" t="s">
        <v>2844</v>
      </c>
      <c r="I2346" s="20" t="s">
        <v>2845</v>
      </c>
      <c r="J2346" s="20" t="s">
        <v>2846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0.09</v>
      </c>
      <c r="Q2346" s="57"/>
      <c r="R2346" s="51"/>
      <c r="S2346" s="45">
        <v>1729033.45</v>
      </c>
      <c r="T2346" s="45"/>
      <c r="U2346" s="45">
        <v>1299654.6</v>
      </c>
      <c r="V2346" s="45">
        <f t="shared" si="266"/>
        <v>429378.85</v>
      </c>
      <c r="W2346" s="32">
        <f t="shared" si="265"/>
        <v>1221675.324</v>
      </c>
      <c r="X2346" s="32"/>
      <c r="Y2346" s="32">
        <f t="shared" si="262"/>
        <v>1221675.324</v>
      </c>
      <c r="Z2346" s="55">
        <f t="shared" si="263"/>
        <v>77979.2760000001</v>
      </c>
      <c r="AA2346" s="45">
        <f t="shared" si="261"/>
        <v>1299654.6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ht="14.25" spans="1:34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2935</v>
      </c>
      <c r="F2347" s="51" t="s">
        <v>2935</v>
      </c>
      <c r="G2347" s="51" t="s">
        <v>2935</v>
      </c>
      <c r="H2347" s="51" t="s">
        <v>2844</v>
      </c>
      <c r="I2347" s="20" t="s">
        <v>2845</v>
      </c>
      <c r="J2347" s="20" t="s">
        <v>2846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45">
        <v>4183.73999999999</v>
      </c>
      <c r="T2347" s="45"/>
      <c r="U2347" s="54">
        <v>4183.73999999999</v>
      </c>
      <c r="V2347" s="45">
        <f t="shared" si="266"/>
        <v>0</v>
      </c>
      <c r="W2347" s="32">
        <f t="shared" si="265"/>
        <v>4072.17359999999</v>
      </c>
      <c r="X2347" s="32"/>
      <c r="Y2347" s="32">
        <f t="shared" si="262"/>
        <v>4072.17359999999</v>
      </c>
      <c r="Z2347" s="55">
        <f t="shared" si="263"/>
        <v>111.5664</v>
      </c>
      <c r="AA2347" s="45">
        <f t="shared" si="261"/>
        <v>4183.73999999999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ht="14.25" spans="1:34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2935</v>
      </c>
      <c r="F2348" s="51" t="s">
        <v>2935</v>
      </c>
      <c r="G2348" s="51" t="s">
        <v>2935</v>
      </c>
      <c r="H2348" s="51" t="s">
        <v>2844</v>
      </c>
      <c r="I2348" s="20" t="s">
        <v>2845</v>
      </c>
      <c r="J2348" s="20" t="s">
        <v>2846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45">
        <v>414937.32</v>
      </c>
      <c r="T2348" s="45"/>
      <c r="U2348" s="54">
        <v>265889.12</v>
      </c>
      <c r="V2348" s="45">
        <f t="shared" si="266"/>
        <v>149048.2</v>
      </c>
      <c r="W2348" s="32">
        <f t="shared" si="265"/>
        <v>249935.7728</v>
      </c>
      <c r="X2348" s="32"/>
      <c r="Y2348" s="32">
        <f t="shared" si="262"/>
        <v>249935.7728</v>
      </c>
      <c r="Z2348" s="55">
        <f t="shared" si="263"/>
        <v>15953.3472</v>
      </c>
      <c r="AA2348" s="45">
        <f t="shared" si="261"/>
        <v>265889.12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ht="14.25" spans="1:34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2936</v>
      </c>
      <c r="F2349" s="51" t="s">
        <v>2936</v>
      </c>
      <c r="G2349" s="51" t="s">
        <v>2936</v>
      </c>
      <c r="H2349" s="51" t="s">
        <v>2844</v>
      </c>
      <c r="I2349" s="20" t="s">
        <v>2845</v>
      </c>
      <c r="J2349" s="20" t="s">
        <v>2846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743470.68</v>
      </c>
      <c r="T2349" s="45"/>
      <c r="U2349" s="45">
        <v>0</v>
      </c>
      <c r="V2349" s="45">
        <f t="shared" si="266"/>
        <v>743470.68</v>
      </c>
      <c r="W2349" s="32">
        <f t="shared" si="265"/>
        <v>0</v>
      </c>
      <c r="X2349" s="32"/>
      <c r="Y2349" s="32">
        <f t="shared" si="262"/>
        <v>0</v>
      </c>
      <c r="Z2349" s="55">
        <f t="shared" si="263"/>
        <v>0</v>
      </c>
      <c r="AA2349" s="45">
        <f t="shared" si="261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ht="14.25" spans="1:34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2937</v>
      </c>
      <c r="F2350" s="51" t="s">
        <v>2937</v>
      </c>
      <c r="G2350" s="51" t="s">
        <v>2937</v>
      </c>
      <c r="H2350" s="51" t="s">
        <v>2844</v>
      </c>
      <c r="I2350" s="20" t="s">
        <v>2845</v>
      </c>
      <c r="J2350" s="20" t="s">
        <v>2846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176705.48</v>
      </c>
      <c r="T2350" s="45"/>
      <c r="U2350" s="45">
        <v>0</v>
      </c>
      <c r="V2350" s="45">
        <f t="shared" si="266"/>
        <v>176705.48</v>
      </c>
      <c r="W2350" s="32">
        <f t="shared" si="265"/>
        <v>0</v>
      </c>
      <c r="X2350" s="32"/>
      <c r="Y2350" s="32">
        <f t="shared" si="262"/>
        <v>0</v>
      </c>
      <c r="Z2350" s="55">
        <f t="shared" si="263"/>
        <v>0</v>
      </c>
      <c r="AA2350" s="45">
        <f t="shared" si="261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ht="14.25" spans="1:34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2938</v>
      </c>
      <c r="G2351" s="51" t="s">
        <v>1563</v>
      </c>
      <c r="H2351" s="51" t="s">
        <v>2844</v>
      </c>
      <c r="I2351" s="20" t="s">
        <v>2845</v>
      </c>
      <c r="J2351" s="20" t="s">
        <v>2846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0.005616438400466</v>
      </c>
      <c r="T2351" s="45"/>
      <c r="U2351" s="45">
        <v>0</v>
      </c>
      <c r="V2351" s="45">
        <f t="shared" si="266"/>
        <v>0.005616438400466</v>
      </c>
      <c r="W2351" s="32">
        <f t="shared" si="265"/>
        <v>0</v>
      </c>
      <c r="X2351" s="32"/>
      <c r="Y2351" s="32">
        <f t="shared" si="262"/>
        <v>0</v>
      </c>
      <c r="Z2351" s="55">
        <f t="shared" si="263"/>
        <v>0</v>
      </c>
      <c r="AA2351" s="45">
        <f t="shared" si="261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ht="14.25" spans="1:34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2939</v>
      </c>
      <c r="G2352" s="51" t="s">
        <v>1524</v>
      </c>
      <c r="H2352" s="51" t="s">
        <v>2844</v>
      </c>
      <c r="I2352" s="20" t="s">
        <v>2845</v>
      </c>
      <c r="J2352" s="20" t="s">
        <v>2846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45">
        <v>360712.1</v>
      </c>
      <c r="T2352" s="45"/>
      <c r="U2352" s="45">
        <v>0</v>
      </c>
      <c r="V2352" s="45">
        <f t="shared" si="266"/>
        <v>360712.1</v>
      </c>
      <c r="W2352" s="32">
        <f t="shared" si="265"/>
        <v>0</v>
      </c>
      <c r="X2352" s="32"/>
      <c r="Y2352" s="32">
        <f t="shared" si="262"/>
        <v>0</v>
      </c>
      <c r="Z2352" s="55">
        <f t="shared" si="263"/>
        <v>0</v>
      </c>
      <c r="AA2352" s="45">
        <f t="shared" si="261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ht="14.25" spans="1:34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2844</v>
      </c>
      <c r="I2353" s="20" t="s">
        <v>2845</v>
      </c>
      <c r="J2353" s="20" t="s">
        <v>2846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45" t="s">
        <v>43</v>
      </c>
      <c r="P2353" s="52">
        <v>0.17</v>
      </c>
      <c r="Q2353" s="57"/>
      <c r="R2353" s="51"/>
      <c r="S2353" s="45">
        <v>1322677.72</v>
      </c>
      <c r="T2353" s="45"/>
      <c r="U2353" s="54">
        <v>628099.84</v>
      </c>
      <c r="V2353" s="45">
        <f t="shared" si="266"/>
        <v>694577.88</v>
      </c>
      <c r="W2353" s="32">
        <f t="shared" si="265"/>
        <v>562592.494723926</v>
      </c>
      <c r="X2353" s="32"/>
      <c r="Y2353" s="32">
        <f t="shared" si="262"/>
        <v>562592.494723926</v>
      </c>
      <c r="Z2353" s="55">
        <f t="shared" si="263"/>
        <v>65507.3452760736</v>
      </c>
      <c r="AA2353" s="45">
        <f t="shared" si="261"/>
        <v>628099.84</v>
      </c>
      <c r="AB2353" s="56">
        <v>0.05</v>
      </c>
      <c r="AC2353" s="51"/>
      <c r="AD2353" s="51"/>
      <c r="AE2353" s="51"/>
      <c r="AF2353" s="51" t="s">
        <v>44</v>
      </c>
      <c r="AG2353" s="56">
        <v>0.46</v>
      </c>
      <c r="AH2353" s="38" t="e">
        <v>#N/A</v>
      </c>
    </row>
    <row r="2354" ht="14.25" spans="1:34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2844</v>
      </c>
      <c r="I2354" s="20" t="s">
        <v>2845</v>
      </c>
      <c r="J2354" s="20" t="s">
        <v>2846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45">
        <v>421386.21</v>
      </c>
      <c r="T2354" s="45"/>
      <c r="U2354" s="45">
        <v>367197.44</v>
      </c>
      <c r="V2354" s="45">
        <f t="shared" si="266"/>
        <v>54188.77</v>
      </c>
      <c r="W2354" s="32">
        <f t="shared" si="265"/>
        <v>339309.026835443</v>
      </c>
      <c r="X2354" s="32"/>
      <c r="Y2354" s="32">
        <f t="shared" si="262"/>
        <v>339309.026835443</v>
      </c>
      <c r="Z2354" s="55">
        <f t="shared" si="263"/>
        <v>27888.413164557</v>
      </c>
      <c r="AA2354" s="45">
        <f t="shared" si="261"/>
        <v>367197.44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ht="14.25" spans="1:34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2940</v>
      </c>
      <c r="F2355" s="51" t="s">
        <v>2940</v>
      </c>
      <c r="G2355" s="51" t="s">
        <v>2940</v>
      </c>
      <c r="H2355" s="51" t="s">
        <v>2844</v>
      </c>
      <c r="I2355" s="20" t="s">
        <v>2845</v>
      </c>
      <c r="J2355" s="20" t="s">
        <v>2846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45">
        <v>74394.57</v>
      </c>
      <c r="T2355" s="45"/>
      <c r="U2355" s="45">
        <v>0</v>
      </c>
      <c r="V2355" s="45">
        <f t="shared" si="266"/>
        <v>74394.57</v>
      </c>
      <c r="W2355" s="32">
        <f t="shared" si="265"/>
        <v>0</v>
      </c>
      <c r="X2355" s="32"/>
      <c r="Y2355" s="32">
        <f t="shared" si="262"/>
        <v>0</v>
      </c>
      <c r="Z2355" s="55">
        <f t="shared" si="263"/>
        <v>0</v>
      </c>
      <c r="AA2355" s="45">
        <f t="shared" ref="AA2355:AA2398" si="267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ht="14.25" spans="1:34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2941</v>
      </c>
      <c r="F2356" s="51" t="s">
        <v>2941</v>
      </c>
      <c r="G2356" s="51" t="s">
        <v>2941</v>
      </c>
      <c r="H2356" s="51" t="s">
        <v>2844</v>
      </c>
      <c r="I2356" s="20" t="s">
        <v>2845</v>
      </c>
      <c r="J2356" s="20" t="s">
        <v>2846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6"/>
        <v>1829.11</v>
      </c>
      <c r="W2356" s="32">
        <f t="shared" si="265"/>
        <v>0</v>
      </c>
      <c r="X2356" s="32"/>
      <c r="Y2356" s="32">
        <f t="shared" si="262"/>
        <v>0</v>
      </c>
      <c r="Z2356" s="55">
        <f t="shared" si="263"/>
        <v>0</v>
      </c>
      <c r="AA2356" s="45">
        <f t="shared" si="267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ht="14.25" spans="1:34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2844</v>
      </c>
      <c r="I2357" s="20" t="s">
        <v>2845</v>
      </c>
      <c r="J2357" s="20" t="s">
        <v>2846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45">
        <v>12754.11</v>
      </c>
      <c r="T2357" s="45"/>
      <c r="U2357" s="45">
        <v>4794.91</v>
      </c>
      <c r="V2357" s="45">
        <f t="shared" si="266"/>
        <v>7959.2</v>
      </c>
      <c r="W2357" s="32">
        <f t="shared" si="265"/>
        <v>4692.16192857143</v>
      </c>
      <c r="X2357" s="32"/>
      <c r="Y2357" s="32">
        <f t="shared" si="262"/>
        <v>4692.16192857143</v>
      </c>
      <c r="Z2357" s="55">
        <f t="shared" si="263"/>
        <v>102.748071428571</v>
      </c>
      <c r="AA2357" s="45">
        <f t="shared" si="267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ht="14.25" spans="1:34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1597</v>
      </c>
      <c r="F2358" s="51" t="s">
        <v>1597</v>
      </c>
      <c r="G2358" s="51" t="s">
        <v>1597</v>
      </c>
      <c r="H2358" s="51" t="s">
        <v>2844</v>
      </c>
      <c r="I2358" s="20" t="s">
        <v>2845</v>
      </c>
      <c r="J2358" s="20" t="s">
        <v>2846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6"/>
        <v>29673.58</v>
      </c>
      <c r="W2358" s="32">
        <f t="shared" si="265"/>
        <v>0</v>
      </c>
      <c r="X2358" s="32"/>
      <c r="Y2358" s="32">
        <f t="shared" si="262"/>
        <v>0</v>
      </c>
      <c r="Z2358" s="55">
        <f t="shared" si="263"/>
        <v>0</v>
      </c>
      <c r="AA2358" s="45">
        <f t="shared" si="267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ht="14.25" spans="1:34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2942</v>
      </c>
      <c r="F2359" s="51" t="s">
        <v>2942</v>
      </c>
      <c r="G2359" s="51" t="s">
        <v>2942</v>
      </c>
      <c r="H2359" s="51" t="s">
        <v>2844</v>
      </c>
      <c r="I2359" s="20" t="s">
        <v>2845</v>
      </c>
      <c r="J2359" s="20" t="s">
        <v>2846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6"/>
        <v>93698.63</v>
      </c>
      <c r="W2359" s="32">
        <f t="shared" si="265"/>
        <v>0</v>
      </c>
      <c r="X2359" s="32"/>
      <c r="Y2359" s="32">
        <f t="shared" si="262"/>
        <v>0</v>
      </c>
      <c r="Z2359" s="55">
        <f t="shared" si="263"/>
        <v>0</v>
      </c>
      <c r="AA2359" s="45">
        <f t="shared" si="267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ht="14.25" spans="1:34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2844</v>
      </c>
      <c r="I2360" s="20" t="s">
        <v>2845</v>
      </c>
      <c r="J2360" s="20" t="s">
        <v>2846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45">
        <v>283361.68</v>
      </c>
      <c r="T2360" s="45"/>
      <c r="U2360" s="45">
        <v>90959.07</v>
      </c>
      <c r="V2360" s="45">
        <f t="shared" si="266"/>
        <v>192402.61</v>
      </c>
      <c r="W2360" s="32">
        <f t="shared" si="265"/>
        <v>83522.1649056604</v>
      </c>
      <c r="X2360" s="32"/>
      <c r="Y2360" s="32">
        <f t="shared" ref="Y2360:Y2423" si="268">W2360+X2360</f>
        <v>83522.1649056604</v>
      </c>
      <c r="Z2360" s="55">
        <f t="shared" si="263"/>
        <v>7436.90509433961</v>
      </c>
      <c r="AA2360" s="45">
        <f t="shared" si="267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ht="14.25" spans="1:34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2943</v>
      </c>
      <c r="F2361" s="51" t="s">
        <v>2943</v>
      </c>
      <c r="G2361" s="51" t="s">
        <v>2943</v>
      </c>
      <c r="H2361" s="51" t="s">
        <v>2844</v>
      </c>
      <c r="I2361" s="20" t="s">
        <v>2845</v>
      </c>
      <c r="J2361" s="20" t="s">
        <v>2846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30918.65</v>
      </c>
      <c r="T2361" s="45"/>
      <c r="U2361" s="45">
        <v>0</v>
      </c>
      <c r="V2361" s="45">
        <f t="shared" si="266"/>
        <v>30918.65</v>
      </c>
      <c r="W2361" s="32">
        <f t="shared" si="265"/>
        <v>0</v>
      </c>
      <c r="X2361" s="32"/>
      <c r="Y2361" s="32">
        <f t="shared" si="268"/>
        <v>0</v>
      </c>
      <c r="Z2361" s="55">
        <f t="shared" si="263"/>
        <v>0</v>
      </c>
      <c r="AA2361" s="45">
        <f t="shared" si="267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ht="14.25" spans="1:34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2944</v>
      </c>
      <c r="F2362" s="51" t="s">
        <v>2944</v>
      </c>
      <c r="G2362" s="51" t="s">
        <v>2944</v>
      </c>
      <c r="H2362" s="51" t="s">
        <v>2844</v>
      </c>
      <c r="I2362" s="20" t="s">
        <v>2845</v>
      </c>
      <c r="J2362" s="20" t="s">
        <v>2846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0.0399999999990541</v>
      </c>
      <c r="T2362" s="45"/>
      <c r="U2362" s="45">
        <v>0</v>
      </c>
      <c r="V2362" s="45">
        <f t="shared" si="266"/>
        <v>0.0399999999990541</v>
      </c>
      <c r="W2362" s="32">
        <f t="shared" si="265"/>
        <v>0</v>
      </c>
      <c r="X2362" s="32"/>
      <c r="Y2362" s="32">
        <f t="shared" si="268"/>
        <v>0</v>
      </c>
      <c r="Z2362" s="55">
        <f t="shared" si="263"/>
        <v>0</v>
      </c>
      <c r="AA2362" s="45">
        <f t="shared" si="267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ht="14.25" spans="1:34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2945</v>
      </c>
      <c r="F2363" s="51" t="s">
        <v>2945</v>
      </c>
      <c r="G2363" s="51" t="s">
        <v>2945</v>
      </c>
      <c r="H2363" s="51" t="s">
        <v>2844</v>
      </c>
      <c r="I2363" s="20" t="s">
        <v>2845</v>
      </c>
      <c r="J2363" s="20" t="s">
        <v>2846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43204.85</v>
      </c>
      <c r="T2363" s="45"/>
      <c r="U2363" s="45">
        <v>0</v>
      </c>
      <c r="V2363" s="45">
        <f t="shared" si="266"/>
        <v>43204.85</v>
      </c>
      <c r="W2363" s="32">
        <f t="shared" si="265"/>
        <v>0</v>
      </c>
      <c r="X2363" s="32"/>
      <c r="Y2363" s="32">
        <f t="shared" si="268"/>
        <v>0</v>
      </c>
      <c r="Z2363" s="55">
        <f t="shared" si="263"/>
        <v>0</v>
      </c>
      <c r="AA2363" s="45">
        <f t="shared" si="267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ht="14.25" spans="1:34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2844</v>
      </c>
      <c r="I2364" s="20" t="s">
        <v>2845</v>
      </c>
      <c r="J2364" s="20" t="s">
        <v>2846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0.07</v>
      </c>
      <c r="Q2364" s="57"/>
      <c r="R2364" s="51"/>
      <c r="S2364" s="45">
        <v>103025.61</v>
      </c>
      <c r="T2364" s="45"/>
      <c r="U2364" s="45">
        <v>0</v>
      </c>
      <c r="V2364" s="45">
        <f t="shared" si="266"/>
        <v>103025.61</v>
      </c>
      <c r="W2364" s="32">
        <f t="shared" si="265"/>
        <v>0</v>
      </c>
      <c r="X2364" s="32"/>
      <c r="Y2364" s="32">
        <f t="shared" si="268"/>
        <v>0</v>
      </c>
      <c r="Z2364" s="55">
        <f t="shared" si="263"/>
        <v>0</v>
      </c>
      <c r="AA2364" s="45">
        <f t="shared" si="267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ht="14.25" spans="1:34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2844</v>
      </c>
      <c r="I2365" s="20" t="s">
        <v>2845</v>
      </c>
      <c r="J2365" s="20" t="s">
        <v>2846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6"/>
        <v>22191.78</v>
      </c>
      <c r="W2365" s="32">
        <f t="shared" si="265"/>
        <v>0</v>
      </c>
      <c r="X2365" s="32"/>
      <c r="Y2365" s="32">
        <f t="shared" si="268"/>
        <v>0</v>
      </c>
      <c r="Z2365" s="55">
        <f t="shared" si="263"/>
        <v>0</v>
      </c>
      <c r="AA2365" s="45">
        <f t="shared" si="267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ht="14.25" spans="1:34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2844</v>
      </c>
      <c r="I2366" s="20" t="s">
        <v>2845</v>
      </c>
      <c r="J2366" s="20" t="s">
        <v>2846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10.1300000000047</v>
      </c>
      <c r="T2366" s="45"/>
      <c r="U2366" s="45">
        <v>0</v>
      </c>
      <c r="V2366" s="45">
        <f t="shared" si="266"/>
        <v>10.1300000000047</v>
      </c>
      <c r="W2366" s="32">
        <f t="shared" si="265"/>
        <v>0</v>
      </c>
      <c r="X2366" s="32"/>
      <c r="Y2366" s="32">
        <f t="shared" si="268"/>
        <v>0</v>
      </c>
      <c r="Z2366" s="55">
        <f t="shared" si="263"/>
        <v>0</v>
      </c>
      <c r="AA2366" s="45">
        <f t="shared" si="267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ht="14.25" spans="1:34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2946</v>
      </c>
      <c r="F2367" s="51" t="s">
        <v>2946</v>
      </c>
      <c r="G2367" s="51" t="s">
        <v>2946</v>
      </c>
      <c r="H2367" s="51" t="s">
        <v>2844</v>
      </c>
      <c r="I2367" s="20" t="s">
        <v>2845</v>
      </c>
      <c r="J2367" s="20" t="s">
        <v>2846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11759.76</v>
      </c>
      <c r="T2367" s="45"/>
      <c r="U2367" s="45">
        <v>0</v>
      </c>
      <c r="V2367" s="45">
        <f t="shared" si="266"/>
        <v>11759.76</v>
      </c>
      <c r="W2367" s="32">
        <f t="shared" si="265"/>
        <v>0</v>
      </c>
      <c r="X2367" s="32"/>
      <c r="Y2367" s="32">
        <f t="shared" si="268"/>
        <v>0</v>
      </c>
      <c r="Z2367" s="55">
        <f t="shared" si="263"/>
        <v>0</v>
      </c>
      <c r="AA2367" s="45">
        <f t="shared" si="267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ht="14.25" spans="1:34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2844</v>
      </c>
      <c r="I2368" s="20" t="s">
        <v>2845</v>
      </c>
      <c r="J2368" s="20" t="s">
        <v>2846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45">
        <v>41837.28</v>
      </c>
      <c r="T2368" s="45"/>
      <c r="U2368" s="45">
        <v>0</v>
      </c>
      <c r="V2368" s="45">
        <f t="shared" si="266"/>
        <v>41837.28</v>
      </c>
      <c r="W2368" s="32">
        <f t="shared" si="265"/>
        <v>0</v>
      </c>
      <c r="X2368" s="32"/>
      <c r="Y2368" s="32">
        <f t="shared" si="268"/>
        <v>0</v>
      </c>
      <c r="Z2368" s="55">
        <f t="shared" si="263"/>
        <v>0</v>
      </c>
      <c r="AA2368" s="45">
        <f t="shared" si="267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ht="14.25" spans="1:34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2844</v>
      </c>
      <c r="I2369" s="20" t="s">
        <v>2845</v>
      </c>
      <c r="J2369" s="20" t="s">
        <v>2846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45">
        <v>288910.79</v>
      </c>
      <c r="T2369" s="45"/>
      <c r="U2369" s="45">
        <v>0</v>
      </c>
      <c r="V2369" s="45">
        <f t="shared" si="266"/>
        <v>288910.79</v>
      </c>
      <c r="W2369" s="32">
        <f t="shared" si="265"/>
        <v>0</v>
      </c>
      <c r="X2369" s="32"/>
      <c r="Y2369" s="32">
        <f t="shared" si="268"/>
        <v>0</v>
      </c>
      <c r="Z2369" s="55">
        <f t="shared" si="263"/>
        <v>0</v>
      </c>
      <c r="AA2369" s="45">
        <f t="shared" si="267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ht="14.25" spans="1:34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2947</v>
      </c>
      <c r="F2370" s="51" t="s">
        <v>2947</v>
      </c>
      <c r="G2370" s="51" t="s">
        <v>2947</v>
      </c>
      <c r="H2370" s="51" t="s">
        <v>2844</v>
      </c>
      <c r="I2370" s="20" t="s">
        <v>2845</v>
      </c>
      <c r="J2370" s="20" t="s">
        <v>2846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75603.72</v>
      </c>
      <c r="T2370" s="45"/>
      <c r="U2370" s="45">
        <v>0</v>
      </c>
      <c r="V2370" s="45">
        <f t="shared" si="266"/>
        <v>75603.72</v>
      </c>
      <c r="W2370" s="32">
        <f t="shared" si="265"/>
        <v>0</v>
      </c>
      <c r="X2370" s="32"/>
      <c r="Y2370" s="32">
        <f t="shared" si="268"/>
        <v>0</v>
      </c>
      <c r="Z2370" s="55">
        <f t="shared" si="263"/>
        <v>0</v>
      </c>
      <c r="AA2370" s="45">
        <f t="shared" si="267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ht="14.25" spans="1:34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2948</v>
      </c>
      <c r="F2371" s="51" t="s">
        <v>2948</v>
      </c>
      <c r="G2371" s="51" t="s">
        <v>2948</v>
      </c>
      <c r="H2371" s="51" t="s">
        <v>2844</v>
      </c>
      <c r="I2371" s="20" t="s">
        <v>2845</v>
      </c>
      <c r="J2371" s="20" t="s">
        <v>2846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0.07</v>
      </c>
      <c r="Q2371" s="57"/>
      <c r="R2371" s="51"/>
      <c r="S2371" s="45">
        <v>48983.89</v>
      </c>
      <c r="T2371" s="45"/>
      <c r="U2371" s="45">
        <v>0</v>
      </c>
      <c r="V2371" s="45">
        <f t="shared" si="266"/>
        <v>48983.89</v>
      </c>
      <c r="W2371" s="32">
        <f t="shared" si="265"/>
        <v>0</v>
      </c>
      <c r="X2371" s="32"/>
      <c r="Y2371" s="32">
        <f t="shared" si="268"/>
        <v>0</v>
      </c>
      <c r="Z2371" s="55">
        <f t="shared" si="263"/>
        <v>0</v>
      </c>
      <c r="AA2371" s="45">
        <f t="shared" si="267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ht="14.25" spans="1:34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2844</v>
      </c>
      <c r="I2372" s="20" t="s">
        <v>2845</v>
      </c>
      <c r="J2372" s="20" t="s">
        <v>2846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45">
        <v>927190.8</v>
      </c>
      <c r="T2372" s="45"/>
      <c r="U2372" s="45">
        <v>670272.85</v>
      </c>
      <c r="V2372" s="45">
        <f t="shared" si="266"/>
        <v>256917.95</v>
      </c>
      <c r="W2372" s="32">
        <f t="shared" si="265"/>
        <v>600367.092638037</v>
      </c>
      <c r="X2372" s="32"/>
      <c r="Y2372" s="32">
        <f t="shared" si="268"/>
        <v>600367.092638037</v>
      </c>
      <c r="Z2372" s="55">
        <f t="shared" si="263"/>
        <v>69905.7573619632</v>
      </c>
      <c r="AA2372" s="45">
        <f t="shared" si="267"/>
        <v>670272.85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ht="14.25" spans="1:34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2949</v>
      </c>
      <c r="F2373" s="51" t="s">
        <v>2949</v>
      </c>
      <c r="G2373" s="51" t="s">
        <v>2949</v>
      </c>
      <c r="H2373" s="51" t="s">
        <v>2844</v>
      </c>
      <c r="I2373" s="20" t="s">
        <v>2845</v>
      </c>
      <c r="J2373" s="20" t="s">
        <v>2846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0.07</v>
      </c>
      <c r="Q2373" s="57"/>
      <c r="R2373" s="51"/>
      <c r="S2373" s="45">
        <v>0.0202739726009895</v>
      </c>
      <c r="T2373" s="45"/>
      <c r="U2373" s="45">
        <v>0</v>
      </c>
      <c r="V2373" s="45">
        <f t="shared" si="266"/>
        <v>0.0202739726009895</v>
      </c>
      <c r="W2373" s="32">
        <f t="shared" si="265"/>
        <v>0</v>
      </c>
      <c r="X2373" s="32"/>
      <c r="Y2373" s="32">
        <f t="shared" si="268"/>
        <v>0</v>
      </c>
      <c r="Z2373" s="55">
        <f t="shared" si="263"/>
        <v>0</v>
      </c>
      <c r="AA2373" s="45">
        <f t="shared" si="267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ht="14.25" spans="1:34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2950</v>
      </c>
      <c r="F2374" s="51" t="s">
        <v>2950</v>
      </c>
      <c r="G2374" s="51" t="s">
        <v>2950</v>
      </c>
      <c r="H2374" s="51" t="s">
        <v>2844</v>
      </c>
      <c r="I2374" s="20" t="s">
        <v>2845</v>
      </c>
      <c r="J2374" s="20" t="s">
        <v>2846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0.07</v>
      </c>
      <c r="Q2374" s="57"/>
      <c r="R2374" s="51"/>
      <c r="S2374" s="45">
        <v>27659.6902739726</v>
      </c>
      <c r="T2374" s="45"/>
      <c r="U2374" s="45">
        <v>0</v>
      </c>
      <c r="V2374" s="45">
        <f t="shared" si="266"/>
        <v>27659.6902739726</v>
      </c>
      <c r="W2374" s="32">
        <f t="shared" si="265"/>
        <v>0</v>
      </c>
      <c r="X2374" s="32"/>
      <c r="Y2374" s="32">
        <f t="shared" si="268"/>
        <v>0</v>
      </c>
      <c r="Z2374" s="55">
        <f t="shared" ref="Z2374:Z2398" si="269">U2374-W2374</f>
        <v>0</v>
      </c>
      <c r="AA2374" s="45">
        <f t="shared" si="267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ht="14.25" spans="1:34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2934</v>
      </c>
      <c r="F2375" s="51" t="s">
        <v>2934</v>
      </c>
      <c r="G2375" s="51" t="s">
        <v>2934</v>
      </c>
      <c r="H2375" s="51" t="s">
        <v>2844</v>
      </c>
      <c r="I2375" s="20" t="s">
        <v>2845</v>
      </c>
      <c r="J2375" s="20" t="s">
        <v>2846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0.07</v>
      </c>
      <c r="Q2375" s="57"/>
      <c r="R2375" s="51"/>
      <c r="S2375" s="45">
        <v>100460.02</v>
      </c>
      <c r="T2375" s="45"/>
      <c r="U2375" s="45">
        <v>0</v>
      </c>
      <c r="V2375" s="45">
        <f t="shared" si="266"/>
        <v>100460.02</v>
      </c>
      <c r="W2375" s="32">
        <f t="shared" si="265"/>
        <v>0</v>
      </c>
      <c r="X2375" s="32"/>
      <c r="Y2375" s="32">
        <f t="shared" si="268"/>
        <v>0</v>
      </c>
      <c r="Z2375" s="55">
        <f t="shared" si="269"/>
        <v>0</v>
      </c>
      <c r="AA2375" s="45">
        <f t="shared" si="267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ht="14.25" spans="1:34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2951</v>
      </c>
      <c r="F2376" s="51" t="s">
        <v>2951</v>
      </c>
      <c r="G2376" s="51" t="s">
        <v>2951</v>
      </c>
      <c r="H2376" s="51" t="s">
        <v>2844</v>
      </c>
      <c r="I2376" s="20" t="s">
        <v>2845</v>
      </c>
      <c r="J2376" s="20" t="s">
        <v>2846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45">
        <v>103854.15</v>
      </c>
      <c r="T2376" s="45"/>
      <c r="U2376" s="45">
        <v>0</v>
      </c>
      <c r="V2376" s="45">
        <f t="shared" si="266"/>
        <v>103854.15</v>
      </c>
      <c r="W2376" s="32">
        <f t="shared" si="265"/>
        <v>0</v>
      </c>
      <c r="X2376" s="32"/>
      <c r="Y2376" s="32">
        <f t="shared" si="268"/>
        <v>0</v>
      </c>
      <c r="Z2376" s="55">
        <f t="shared" si="269"/>
        <v>0</v>
      </c>
      <c r="AA2376" s="45">
        <f t="shared" si="267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ht="14.25" spans="1:34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1635</v>
      </c>
      <c r="F2377" s="51" t="s">
        <v>1635</v>
      </c>
      <c r="G2377" s="51" t="s">
        <v>1635</v>
      </c>
      <c r="H2377" s="51" t="s">
        <v>2844</v>
      </c>
      <c r="I2377" s="20" t="s">
        <v>2845</v>
      </c>
      <c r="J2377" s="20" t="s">
        <v>2846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182014.71</v>
      </c>
      <c r="T2377" s="45"/>
      <c r="U2377" s="45">
        <v>0</v>
      </c>
      <c r="V2377" s="45">
        <f t="shared" si="266"/>
        <v>182014.71</v>
      </c>
      <c r="W2377" s="32">
        <f t="shared" si="265"/>
        <v>0</v>
      </c>
      <c r="X2377" s="32"/>
      <c r="Y2377" s="32">
        <f t="shared" si="268"/>
        <v>0</v>
      </c>
      <c r="Z2377" s="55">
        <f t="shared" si="269"/>
        <v>0</v>
      </c>
      <c r="AA2377" s="45">
        <f t="shared" si="267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ht="14.25" spans="1:34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2952</v>
      </c>
      <c r="F2378" s="51" t="s">
        <v>2952</v>
      </c>
      <c r="G2378" s="51" t="s">
        <v>2952</v>
      </c>
      <c r="H2378" s="51" t="s">
        <v>2844</v>
      </c>
      <c r="I2378" s="20" t="s">
        <v>2845</v>
      </c>
      <c r="J2378" s="20" t="s">
        <v>2846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33538.886027397</v>
      </c>
      <c r="T2378" s="45"/>
      <c r="U2378" s="45">
        <v>0</v>
      </c>
      <c r="V2378" s="45">
        <f t="shared" si="266"/>
        <v>33538.886027397</v>
      </c>
      <c r="W2378" s="32">
        <f t="shared" si="265"/>
        <v>0</v>
      </c>
      <c r="X2378" s="32"/>
      <c r="Y2378" s="32">
        <f t="shared" si="268"/>
        <v>0</v>
      </c>
      <c r="Z2378" s="55">
        <f t="shared" si="269"/>
        <v>0</v>
      </c>
      <c r="AA2378" s="45">
        <f t="shared" si="267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ht="14.25" spans="1:34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2953</v>
      </c>
      <c r="F2379" s="51" t="s">
        <v>2953</v>
      </c>
      <c r="G2379" s="51" t="s">
        <v>2953</v>
      </c>
      <c r="H2379" s="51" t="s">
        <v>2844</v>
      </c>
      <c r="I2379" s="20" t="s">
        <v>2845</v>
      </c>
      <c r="J2379" s="20" t="s">
        <v>2846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0.07</v>
      </c>
      <c r="Q2379" s="57"/>
      <c r="R2379" s="51"/>
      <c r="S2379" s="45">
        <v>21726.69</v>
      </c>
      <c r="T2379" s="45"/>
      <c r="U2379" s="45">
        <v>0</v>
      </c>
      <c r="V2379" s="45">
        <f t="shared" si="266"/>
        <v>21726.69</v>
      </c>
      <c r="W2379" s="32">
        <f t="shared" si="265"/>
        <v>0</v>
      </c>
      <c r="X2379" s="32"/>
      <c r="Y2379" s="32">
        <f t="shared" si="268"/>
        <v>0</v>
      </c>
      <c r="Z2379" s="55">
        <f t="shared" si="269"/>
        <v>0</v>
      </c>
      <c r="AA2379" s="45">
        <f t="shared" si="267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ht="14.25" spans="1:34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2954</v>
      </c>
      <c r="F2380" s="51" t="s">
        <v>2954</v>
      </c>
      <c r="G2380" s="51" t="s">
        <v>2954</v>
      </c>
      <c r="H2380" s="51" t="s">
        <v>2844</v>
      </c>
      <c r="I2380" s="20" t="s">
        <v>2845</v>
      </c>
      <c r="J2380" s="20" t="s">
        <v>2846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13457.6383561644</v>
      </c>
      <c r="T2380" s="45"/>
      <c r="U2380" s="45">
        <v>0</v>
      </c>
      <c r="V2380" s="45">
        <f t="shared" si="266"/>
        <v>13457.6383561644</v>
      </c>
      <c r="W2380" s="32">
        <f t="shared" si="265"/>
        <v>0</v>
      </c>
      <c r="X2380" s="32"/>
      <c r="Y2380" s="32">
        <f t="shared" si="268"/>
        <v>0</v>
      </c>
      <c r="Z2380" s="55">
        <f t="shared" si="269"/>
        <v>0</v>
      </c>
      <c r="AA2380" s="45">
        <f t="shared" si="267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ht="14.25" spans="1:34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2955</v>
      </c>
      <c r="F2381" s="51" t="s">
        <v>2955</v>
      </c>
      <c r="G2381" s="51" t="s">
        <v>2955</v>
      </c>
      <c r="H2381" s="51" t="s">
        <v>2844</v>
      </c>
      <c r="I2381" s="20" t="s">
        <v>2845</v>
      </c>
      <c r="J2381" s="20" t="s">
        <v>2846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0.190000000000509</v>
      </c>
      <c r="T2381" s="45"/>
      <c r="U2381" s="45">
        <v>0</v>
      </c>
      <c r="V2381" s="45">
        <f t="shared" si="266"/>
        <v>0.190000000000509</v>
      </c>
      <c r="W2381" s="32">
        <f t="shared" ref="W2381:W2398" si="270">U2381*(1+AG2381)/(1+AG2381+P2381)</f>
        <v>0</v>
      </c>
      <c r="X2381" s="32"/>
      <c r="Y2381" s="32">
        <f t="shared" si="268"/>
        <v>0</v>
      </c>
      <c r="Z2381" s="55">
        <f t="shared" si="269"/>
        <v>0</v>
      </c>
      <c r="AA2381" s="45">
        <f t="shared" si="267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ht="14.25" spans="1:34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2844</v>
      </c>
      <c r="I2382" s="20" t="s">
        <v>2845</v>
      </c>
      <c r="J2382" s="20" t="s">
        <v>2846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0.07</v>
      </c>
      <c r="Q2382" s="57"/>
      <c r="R2382" s="51"/>
      <c r="S2382" s="45">
        <v>3135.68000000002</v>
      </c>
      <c r="T2382" s="45"/>
      <c r="U2382" s="45">
        <v>0</v>
      </c>
      <c r="V2382" s="45">
        <f t="shared" si="266"/>
        <v>3135.68000000002</v>
      </c>
      <c r="W2382" s="32">
        <f t="shared" si="270"/>
        <v>0</v>
      </c>
      <c r="X2382" s="32"/>
      <c r="Y2382" s="32">
        <f t="shared" si="268"/>
        <v>0</v>
      </c>
      <c r="Z2382" s="55">
        <f t="shared" si="269"/>
        <v>0</v>
      </c>
      <c r="AA2382" s="45">
        <f t="shared" si="267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ht="14.25" spans="1:34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2956</v>
      </c>
      <c r="F2383" s="51" t="s">
        <v>2956</v>
      </c>
      <c r="G2383" s="51" t="s">
        <v>2956</v>
      </c>
      <c r="H2383" s="51" t="s">
        <v>2844</v>
      </c>
      <c r="I2383" s="20" t="s">
        <v>2845</v>
      </c>
      <c r="J2383" s="20" t="s">
        <v>2846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0.0235036495993199</v>
      </c>
      <c r="T2383" s="45"/>
      <c r="U2383" s="45">
        <v>0</v>
      </c>
      <c r="V2383" s="45">
        <f t="shared" si="266"/>
        <v>0.0235036495993199</v>
      </c>
      <c r="W2383" s="32">
        <f t="shared" si="270"/>
        <v>0</v>
      </c>
      <c r="X2383" s="32"/>
      <c r="Y2383" s="32">
        <f t="shared" si="268"/>
        <v>0</v>
      </c>
      <c r="Z2383" s="55">
        <f t="shared" si="269"/>
        <v>0</v>
      </c>
      <c r="AA2383" s="45">
        <f t="shared" si="267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ht="14.25" spans="1:34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2844</v>
      </c>
      <c r="I2384" s="20" t="s">
        <v>2845</v>
      </c>
      <c r="J2384" s="20" t="s">
        <v>2846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6"/>
        <v>20415.91</v>
      </c>
      <c r="W2384" s="32">
        <f t="shared" si="270"/>
        <v>0</v>
      </c>
      <c r="X2384" s="32"/>
      <c r="Y2384" s="32">
        <f t="shared" si="268"/>
        <v>0</v>
      </c>
      <c r="Z2384" s="55">
        <f t="shared" si="269"/>
        <v>0</v>
      </c>
      <c r="AA2384" s="45">
        <f t="shared" si="267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ht="14.25" spans="1:34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2844</v>
      </c>
      <c r="I2385" s="20" t="s">
        <v>2845</v>
      </c>
      <c r="J2385" s="20" t="s">
        <v>2846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45">
        <v>335548.64</v>
      </c>
      <c r="T2385" s="45"/>
      <c r="U2385" s="45">
        <v>324152.32</v>
      </c>
      <c r="V2385" s="45">
        <f t="shared" si="266"/>
        <v>11396.32</v>
      </c>
      <c r="W2385" s="32">
        <f t="shared" si="270"/>
        <v>301441.010955414</v>
      </c>
      <c r="X2385" s="32"/>
      <c r="Y2385" s="32">
        <f t="shared" si="268"/>
        <v>301441.010955414</v>
      </c>
      <c r="Z2385" s="55">
        <f t="shared" si="269"/>
        <v>22711.309044586</v>
      </c>
      <c r="AA2385" s="45">
        <f t="shared" si="267"/>
        <v>324152.32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ht="14.25" spans="1:34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1626</v>
      </c>
      <c r="F2386" s="51" t="s">
        <v>1626</v>
      </c>
      <c r="G2386" s="51" t="s">
        <v>1626</v>
      </c>
      <c r="H2386" s="51" t="s">
        <v>2844</v>
      </c>
      <c r="I2386" s="20" t="s">
        <v>2845</v>
      </c>
      <c r="J2386" s="20" t="s">
        <v>2846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6"/>
        <v>21079.78</v>
      </c>
      <c r="W2386" s="32">
        <f t="shared" si="270"/>
        <v>0</v>
      </c>
      <c r="X2386" s="32"/>
      <c r="Y2386" s="32">
        <f t="shared" si="268"/>
        <v>0</v>
      </c>
      <c r="Z2386" s="55">
        <f t="shared" si="269"/>
        <v>0</v>
      </c>
      <c r="AA2386" s="45">
        <f t="shared" si="267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ht="14.25" spans="1:34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2957</v>
      </c>
      <c r="F2387" s="51" t="s">
        <v>2957</v>
      </c>
      <c r="G2387" s="51" t="s">
        <v>2957</v>
      </c>
      <c r="H2387" s="51" t="s">
        <v>2844</v>
      </c>
      <c r="I2387" s="20" t="s">
        <v>2845</v>
      </c>
      <c r="J2387" s="20" t="s">
        <v>2846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45">
        <v>16435.8</v>
      </c>
      <c r="T2387" s="45"/>
      <c r="U2387" s="45">
        <v>2205.77</v>
      </c>
      <c r="V2387" s="45">
        <f t="shared" si="266"/>
        <v>14230.03</v>
      </c>
      <c r="W2387" s="32">
        <f t="shared" si="270"/>
        <v>2118.70013157895</v>
      </c>
      <c r="X2387" s="32"/>
      <c r="Y2387" s="32">
        <f t="shared" si="268"/>
        <v>2118.70013157895</v>
      </c>
      <c r="Z2387" s="55">
        <f t="shared" si="269"/>
        <v>87.0698684210529</v>
      </c>
      <c r="AA2387" s="45">
        <f t="shared" si="267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ht="14.25" spans="1:34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2844</v>
      </c>
      <c r="I2388" s="20" t="s">
        <v>2845</v>
      </c>
      <c r="J2388" s="20" t="s">
        <v>2846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45">
        <v>29562.04</v>
      </c>
      <c r="T2388" s="45"/>
      <c r="U2388" s="54">
        <v>0</v>
      </c>
      <c r="V2388" s="45">
        <f t="shared" si="266"/>
        <v>29562.04</v>
      </c>
      <c r="W2388" s="32">
        <f t="shared" si="270"/>
        <v>0</v>
      </c>
      <c r="X2388" s="32"/>
      <c r="Y2388" s="32">
        <f t="shared" si="268"/>
        <v>0</v>
      </c>
      <c r="Z2388" s="55">
        <f t="shared" si="269"/>
        <v>0</v>
      </c>
      <c r="AA2388" s="45">
        <f t="shared" si="267"/>
        <v>0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ht="14.25" spans="1:34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2958</v>
      </c>
      <c r="G2389" s="51" t="s">
        <v>354</v>
      </c>
      <c r="H2389" s="51" t="s">
        <v>2844</v>
      </c>
      <c r="I2389" s="20" t="s">
        <v>2845</v>
      </c>
      <c r="J2389" s="20" t="s">
        <v>2846</v>
      </c>
      <c r="K2389" s="20" t="str">
        <f>VLOOKUP(H2389,[1]媒体表!C:T,18,0)</f>
        <v>北京多彩</v>
      </c>
      <c r="L2389" s="52" t="s">
        <v>2959</v>
      </c>
      <c r="M2389" s="51"/>
      <c r="N2389" s="51" t="s">
        <v>110</v>
      </c>
      <c r="O2389" s="45" t="s">
        <v>43</v>
      </c>
      <c r="P2389" s="52">
        <v>0.0685</v>
      </c>
      <c r="Q2389" s="57"/>
      <c r="R2389" s="51" t="s">
        <v>23</v>
      </c>
      <c r="S2389" s="45">
        <v>12662.58</v>
      </c>
      <c r="T2389" s="45"/>
      <c r="U2389" s="45">
        <v>1.09</v>
      </c>
      <c r="V2389" s="45">
        <f t="shared" si="266"/>
        <v>12661.49</v>
      </c>
      <c r="W2389" s="32">
        <f t="shared" si="270"/>
        <v>1.03809523809524</v>
      </c>
      <c r="X2389" s="32">
        <v>1239.07</v>
      </c>
      <c r="Y2389" s="32">
        <f t="shared" si="268"/>
        <v>1240.1080952381</v>
      </c>
      <c r="Z2389" s="55">
        <f t="shared" si="269"/>
        <v>0.0519047619047619</v>
      </c>
      <c r="AA2389" s="45">
        <f t="shared" si="267"/>
        <v>1.09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ht="14.25" spans="1:34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1681</v>
      </c>
      <c r="F2390" s="51" t="s">
        <v>1682</v>
      </c>
      <c r="G2390" s="51" t="s">
        <v>1681</v>
      </c>
      <c r="H2390" s="51" t="s">
        <v>2844</v>
      </c>
      <c r="I2390" s="20" t="s">
        <v>2845</v>
      </c>
      <c r="J2390" s="20" t="s">
        <v>2846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6"/>
        <v>0</v>
      </c>
      <c r="W2390" s="32">
        <f t="shared" si="270"/>
        <v>0</v>
      </c>
      <c r="X2390" s="32">
        <v>53010.42</v>
      </c>
      <c r="Y2390" s="32">
        <f t="shared" si="268"/>
        <v>53010.42</v>
      </c>
      <c r="Z2390" s="55">
        <f t="shared" si="269"/>
        <v>0</v>
      </c>
      <c r="AA2390" s="45">
        <f t="shared" si="267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ht="14.25" spans="1:34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2896</v>
      </c>
      <c r="F2391" s="51" t="s">
        <v>2896</v>
      </c>
      <c r="G2391" s="51" t="s">
        <v>2896</v>
      </c>
      <c r="H2391" s="51" t="s">
        <v>2844</v>
      </c>
      <c r="I2391" s="20" t="s">
        <v>2845</v>
      </c>
      <c r="J2391" s="20" t="s">
        <v>2846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45">
        <v>69270.11</v>
      </c>
      <c r="T2391" s="45"/>
      <c r="U2391" s="45">
        <v>6553.27</v>
      </c>
      <c r="V2391" s="45">
        <f t="shared" si="266"/>
        <v>62716.84</v>
      </c>
      <c r="W2391" s="32">
        <f t="shared" si="270"/>
        <v>6553.27</v>
      </c>
      <c r="X2391" s="32"/>
      <c r="Y2391" s="32">
        <f t="shared" si="268"/>
        <v>6553.27</v>
      </c>
      <c r="Z2391" s="55">
        <f t="shared" si="269"/>
        <v>0</v>
      </c>
      <c r="AA2391" s="45">
        <f t="shared" si="267"/>
        <v>6553.27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ht="14.25" spans="1:34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2926</v>
      </c>
      <c r="F2392" s="51" t="s">
        <v>2926</v>
      </c>
      <c r="G2392" s="51" t="s">
        <v>2926</v>
      </c>
      <c r="H2392" s="51" t="s">
        <v>2844</v>
      </c>
      <c r="I2392" s="20" t="s">
        <v>2845</v>
      </c>
      <c r="J2392" s="20" t="s">
        <v>2846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45">
        <v>49999.97</v>
      </c>
      <c r="T2392" s="45"/>
      <c r="U2392" s="45">
        <v>2812.93</v>
      </c>
      <c r="V2392" s="45">
        <f t="shared" si="266"/>
        <v>47187.04</v>
      </c>
      <c r="W2392" s="32">
        <f t="shared" si="270"/>
        <v>2812.93</v>
      </c>
      <c r="X2392" s="32"/>
      <c r="Y2392" s="32">
        <f t="shared" si="268"/>
        <v>2812.93</v>
      </c>
      <c r="Z2392" s="55">
        <f t="shared" si="269"/>
        <v>0</v>
      </c>
      <c r="AA2392" s="45">
        <f t="shared" si="267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ht="14.25" spans="1:34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2926</v>
      </c>
      <c r="F2393" s="51" t="s">
        <v>2926</v>
      </c>
      <c r="G2393" s="51" t="s">
        <v>2926</v>
      </c>
      <c r="H2393" s="51" t="s">
        <v>2844</v>
      </c>
      <c r="I2393" s="20" t="s">
        <v>2845</v>
      </c>
      <c r="J2393" s="20" t="s">
        <v>2846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82</v>
      </c>
      <c r="P2393" s="52">
        <v>0.04</v>
      </c>
      <c r="Q2393" s="57"/>
      <c r="R2393" s="51"/>
      <c r="S2393" s="45"/>
      <c r="T2393" s="45"/>
      <c r="U2393" s="45">
        <v>0</v>
      </c>
      <c r="V2393" s="45">
        <f t="shared" si="266"/>
        <v>0</v>
      </c>
      <c r="W2393" s="32">
        <f t="shared" si="270"/>
        <v>0</v>
      </c>
      <c r="X2393" s="32"/>
      <c r="Y2393" s="32">
        <f t="shared" si="268"/>
        <v>0</v>
      </c>
      <c r="Z2393" s="55">
        <f t="shared" si="269"/>
        <v>0</v>
      </c>
      <c r="AA2393" s="45">
        <f t="shared" si="267"/>
        <v>0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ht="14.25" spans="1:34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2960</v>
      </c>
      <c r="F2394" s="51" t="s">
        <v>2960</v>
      </c>
      <c r="G2394" s="51" t="s">
        <v>2960</v>
      </c>
      <c r="H2394" s="51" t="s">
        <v>2844</v>
      </c>
      <c r="I2394" s="20" t="s">
        <v>2845</v>
      </c>
      <c r="J2394" s="20" t="s">
        <v>2846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45">
        <v>20567.32</v>
      </c>
      <c r="T2394" s="45"/>
      <c r="U2394" s="45">
        <v>9145.89</v>
      </c>
      <c r="V2394" s="45">
        <f t="shared" si="266"/>
        <v>11421.43</v>
      </c>
      <c r="W2394" s="32">
        <f t="shared" si="270"/>
        <v>8893.5895862069</v>
      </c>
      <c r="X2394" s="32"/>
      <c r="Y2394" s="32">
        <f t="shared" si="268"/>
        <v>8893.5895862069</v>
      </c>
      <c r="Z2394" s="55">
        <f t="shared" si="269"/>
        <v>252.300413793104</v>
      </c>
      <c r="AA2394" s="45">
        <f t="shared" si="267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ht="14.25" spans="1:34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2844</v>
      </c>
      <c r="I2395" s="20" t="s">
        <v>2845</v>
      </c>
      <c r="J2395" s="20" t="s">
        <v>2846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82</v>
      </c>
      <c r="P2395" s="52">
        <v>0</v>
      </c>
      <c r="Q2395" s="57"/>
      <c r="R2395" s="51"/>
      <c r="S2395" s="45">
        <v>1050006.47</v>
      </c>
      <c r="T2395" s="45"/>
      <c r="U2395" s="45">
        <v>834764.44</v>
      </c>
      <c r="V2395" s="45">
        <f t="shared" si="266"/>
        <v>215242.03</v>
      </c>
      <c r="W2395" s="32">
        <f t="shared" si="270"/>
        <v>834764.44</v>
      </c>
      <c r="X2395" s="32"/>
      <c r="Y2395" s="32">
        <f t="shared" si="268"/>
        <v>834764.44</v>
      </c>
      <c r="Z2395" s="55">
        <f t="shared" si="269"/>
        <v>0</v>
      </c>
      <c r="AA2395" s="45">
        <f t="shared" si="267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ht="14.25" spans="1:34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2961</v>
      </c>
      <c r="F2396" s="51" t="s">
        <v>2961</v>
      </c>
      <c r="G2396" s="51" t="s">
        <v>2961</v>
      </c>
      <c r="H2396" s="51" t="s">
        <v>2844</v>
      </c>
      <c r="I2396" s="20" t="s">
        <v>2845</v>
      </c>
      <c r="J2396" s="20" t="s">
        <v>2846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45">
        <v>388058.73</v>
      </c>
      <c r="T2396" s="45"/>
      <c r="U2396" s="45">
        <v>60216.21</v>
      </c>
      <c r="V2396" s="45">
        <f t="shared" si="266"/>
        <v>327842.52</v>
      </c>
      <c r="W2396" s="32">
        <f t="shared" si="270"/>
        <v>55642.8269620253</v>
      </c>
      <c r="X2396" s="32"/>
      <c r="Y2396" s="32">
        <f t="shared" si="268"/>
        <v>55642.8269620253</v>
      </c>
      <c r="Z2396" s="55">
        <f t="shared" si="269"/>
        <v>4573.38303797469</v>
      </c>
      <c r="AA2396" s="45">
        <f t="shared" si="267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ht="14.25" spans="1:34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2844</v>
      </c>
      <c r="I2397" s="20" t="s">
        <v>2845</v>
      </c>
      <c r="J2397" s="20" t="s">
        <v>2846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82</v>
      </c>
      <c r="P2397" s="52">
        <v>0</v>
      </c>
      <c r="Q2397" s="57"/>
      <c r="R2397" s="51"/>
      <c r="S2397" s="45">
        <v>50633.19</v>
      </c>
      <c r="T2397" s="45"/>
      <c r="U2397" s="45">
        <v>16.55</v>
      </c>
      <c r="V2397" s="45">
        <f t="shared" si="266"/>
        <v>50616.64</v>
      </c>
      <c r="W2397" s="32">
        <f t="shared" si="270"/>
        <v>16.55</v>
      </c>
      <c r="X2397" s="32"/>
      <c r="Y2397" s="32">
        <f t="shared" si="268"/>
        <v>16.55</v>
      </c>
      <c r="Z2397" s="55">
        <f t="shared" si="269"/>
        <v>0</v>
      </c>
      <c r="AA2397" s="45">
        <f t="shared" si="267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ht="14.25" spans="1:34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2944</v>
      </c>
      <c r="F2398" s="51" t="s">
        <v>2944</v>
      </c>
      <c r="G2398" s="51" t="s">
        <v>2944</v>
      </c>
      <c r="H2398" s="51" t="s">
        <v>2844</v>
      </c>
      <c r="I2398" s="20" t="s">
        <v>2845</v>
      </c>
      <c r="J2398" s="20" t="s">
        <v>2846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82</v>
      </c>
      <c r="P2398" s="52">
        <v>0.04</v>
      </c>
      <c r="Q2398" s="57"/>
      <c r="R2398" s="51"/>
      <c r="S2398" s="45">
        <v>64534.72</v>
      </c>
      <c r="T2398" s="45"/>
      <c r="U2398" s="45">
        <v>25527</v>
      </c>
      <c r="V2398" s="45">
        <f t="shared" si="266"/>
        <v>39007.72</v>
      </c>
      <c r="W2398" s="32">
        <f t="shared" si="270"/>
        <v>24822.8068965517</v>
      </c>
      <c r="X2398" s="32"/>
      <c r="Y2398" s="32">
        <f t="shared" si="268"/>
        <v>24822.8068965517</v>
      </c>
      <c r="Z2398" s="55">
        <f t="shared" si="269"/>
        <v>704.193103448277</v>
      </c>
      <c r="AA2398" s="45">
        <f t="shared" si="267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ht="14.25" spans="1:34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2962</v>
      </c>
      <c r="F2399" s="51" t="s">
        <v>2962</v>
      </c>
      <c r="G2399" s="51" t="s">
        <v>2962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68"/>
        <v>269.55</v>
      </c>
      <c r="Z2399" s="55"/>
      <c r="AA2399" s="45"/>
      <c r="AB2399" s="56">
        <v>0.07</v>
      </c>
      <c r="AC2399" s="51"/>
      <c r="AD2399" s="51"/>
      <c r="AE2399" s="51"/>
      <c r="AF2399" s="51"/>
      <c r="AG2399" s="56"/>
      <c r="AH2399" s="38" t="e">
        <v>#N/A</v>
      </c>
    </row>
    <row r="2400" ht="14.25" spans="1:34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2963</v>
      </c>
      <c r="F2400" s="51" t="s">
        <v>2964</v>
      </c>
      <c r="G2400" s="51" t="s">
        <v>2963</v>
      </c>
      <c r="H2400" s="51" t="s">
        <v>2965</v>
      </c>
      <c r="I2400" s="20" t="s">
        <v>2966</v>
      </c>
      <c r="J2400" s="20" t="s">
        <v>2967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1">S2400+T2400-U2400</f>
        <v>123785.01</v>
      </c>
      <c r="W2400" s="32">
        <f t="shared" ref="W2400:W2463" si="272">IF(O2400="返货",U2400/(1+P2400),IF(O2400="返现",U2400,IF(O2400="折扣",U2400*P2400,IF(O2400="无",U2400))))</f>
        <v>102814.99</v>
      </c>
      <c r="X2400" s="32"/>
      <c r="Y2400" s="32">
        <f t="shared" si="268"/>
        <v>102814.99</v>
      </c>
      <c r="Z2400" s="55">
        <f t="shared" ref="Z2400:Z2463" si="273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ht="14.25" spans="1:34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2968</v>
      </c>
      <c r="F2401" s="51" t="s">
        <v>2968</v>
      </c>
      <c r="G2401" s="51" t="s">
        <v>2968</v>
      </c>
      <c r="H2401" s="51" t="s">
        <v>2965</v>
      </c>
      <c r="I2401" s="20" t="s">
        <v>2966</v>
      </c>
      <c r="J2401" s="20" t="s">
        <v>2967</v>
      </c>
      <c r="K2401" s="20" t="str">
        <f>VLOOKUP(H2401,[1]媒体表!C:T,18,0)</f>
        <v>北京多彩</v>
      </c>
      <c r="L2401" s="51" t="s">
        <v>2969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1"/>
        <v>38240.81</v>
      </c>
      <c r="W2401" s="32">
        <f t="shared" si="272"/>
        <v>7530</v>
      </c>
      <c r="X2401" s="32"/>
      <c r="Y2401" s="32">
        <f t="shared" si="268"/>
        <v>7530</v>
      </c>
      <c r="Z2401" s="55">
        <f t="shared" si="273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ht="14.25" spans="1:34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2965</v>
      </c>
      <c r="I2402" s="20" t="s">
        <v>2966</v>
      </c>
      <c r="J2402" s="20" t="s">
        <v>2967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1"/>
        <v>195343.18</v>
      </c>
      <c r="W2402" s="32">
        <f t="shared" si="272"/>
        <v>188446.68</v>
      </c>
      <c r="X2402" s="32">
        <f>W2402*R2402</f>
        <v>5653.4004</v>
      </c>
      <c r="Y2402" s="32">
        <f t="shared" si="268"/>
        <v>194100.0804</v>
      </c>
      <c r="Z2402" s="55">
        <f t="shared" si="273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ht="14.25" spans="1:34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2970</v>
      </c>
      <c r="F2403" s="51" t="s">
        <v>2970</v>
      </c>
      <c r="G2403" s="51" t="s">
        <v>2970</v>
      </c>
      <c r="H2403" s="51" t="s">
        <v>2965</v>
      </c>
      <c r="I2403" s="20" t="s">
        <v>2966</v>
      </c>
      <c r="J2403" s="20" t="s">
        <v>2967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1"/>
        <v>0</v>
      </c>
      <c r="W2403" s="32">
        <f t="shared" si="272"/>
        <v>103435.57</v>
      </c>
      <c r="X2403" s="32"/>
      <c r="Y2403" s="32">
        <f t="shared" si="268"/>
        <v>103435.57</v>
      </c>
      <c r="Z2403" s="55">
        <f t="shared" si="273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ht="14.25" spans="1:34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2971</v>
      </c>
      <c r="F2404" s="51" t="s">
        <v>2971</v>
      </c>
      <c r="G2404" s="51" t="s">
        <v>2971</v>
      </c>
      <c r="H2404" s="51" t="s">
        <v>2965</v>
      </c>
      <c r="I2404" s="20" t="s">
        <v>2966</v>
      </c>
      <c r="J2404" s="20" t="s">
        <v>2967</v>
      </c>
      <c r="K2404" s="20" t="str">
        <f>VLOOKUP(H2404,[1]媒体表!C:T,18,0)</f>
        <v>北京多彩</v>
      </c>
      <c r="L2404" s="51" t="s">
        <v>2972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1"/>
        <v>12099.5</v>
      </c>
      <c r="W2404" s="32">
        <f t="shared" si="272"/>
        <v>0</v>
      </c>
      <c r="X2404" s="32"/>
      <c r="Y2404" s="32">
        <f t="shared" si="268"/>
        <v>0</v>
      </c>
      <c r="Z2404" s="55">
        <f t="shared" si="273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ht="14.25" spans="1:34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2971</v>
      </c>
      <c r="F2405" s="51" t="s">
        <v>2971</v>
      </c>
      <c r="G2405" s="51" t="s">
        <v>2971</v>
      </c>
      <c r="H2405" s="51" t="s">
        <v>2965</v>
      </c>
      <c r="I2405" s="20" t="s">
        <v>2966</v>
      </c>
      <c r="J2405" s="20" t="s">
        <v>2967</v>
      </c>
      <c r="K2405" s="20" t="str">
        <f>VLOOKUP(H2405,[1]媒体表!C:T,18,0)</f>
        <v>北京多彩</v>
      </c>
      <c r="L2405" s="51" t="s">
        <v>2973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1"/>
        <v>451</v>
      </c>
      <c r="W2405" s="32">
        <f t="shared" si="272"/>
        <v>0</v>
      </c>
      <c r="X2405" s="32"/>
      <c r="Y2405" s="32">
        <f t="shared" si="268"/>
        <v>0</v>
      </c>
      <c r="Z2405" s="55">
        <f t="shared" si="273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ht="14.25" spans="1:34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2971</v>
      </c>
      <c r="F2406" s="51" t="s">
        <v>2971</v>
      </c>
      <c r="G2406" s="51" t="s">
        <v>2971</v>
      </c>
      <c r="H2406" s="51" t="s">
        <v>2965</v>
      </c>
      <c r="I2406" s="20" t="s">
        <v>2966</v>
      </c>
      <c r="J2406" s="20" t="s">
        <v>2967</v>
      </c>
      <c r="K2406" s="20" t="str">
        <f>VLOOKUP(H2406,[1]媒体表!C:T,18,0)</f>
        <v>北京多彩</v>
      </c>
      <c r="L2406" s="51" t="s">
        <v>2974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1"/>
        <v>10988.1</v>
      </c>
      <c r="W2406" s="32">
        <f t="shared" si="272"/>
        <v>0</v>
      </c>
      <c r="X2406" s="32"/>
      <c r="Y2406" s="32">
        <f t="shared" si="268"/>
        <v>0</v>
      </c>
      <c r="Z2406" s="55">
        <f t="shared" si="273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ht="14.25" spans="1:34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2965</v>
      </c>
      <c r="I2407" s="20" t="s">
        <v>2966</v>
      </c>
      <c r="J2407" s="20" t="s">
        <v>2967</v>
      </c>
      <c r="K2407" s="20" t="str">
        <f>VLOOKUP(H2407,[1]媒体表!C:T,18,0)</f>
        <v>北京多彩</v>
      </c>
      <c r="L2407" s="51" t="s">
        <v>2975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</v>
      </c>
      <c r="T2407" s="59"/>
      <c r="U2407" s="59">
        <v>0</v>
      </c>
      <c r="V2407" s="45">
        <f t="shared" si="271"/>
        <v>144.200000000002</v>
      </c>
      <c r="W2407" s="32">
        <f t="shared" si="272"/>
        <v>0</v>
      </c>
      <c r="X2407" s="32"/>
      <c r="Y2407" s="32">
        <f t="shared" si="268"/>
        <v>0</v>
      </c>
      <c r="Z2407" s="55">
        <f t="shared" si="273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ht="14.25" spans="1:34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2976</v>
      </c>
      <c r="F2408" s="51" t="s">
        <v>2976</v>
      </c>
      <c r="G2408" s="51" t="s">
        <v>2976</v>
      </c>
      <c r="H2408" s="51" t="s">
        <v>2965</v>
      </c>
      <c r="I2408" s="20" t="s">
        <v>2966</v>
      </c>
      <c r="J2408" s="20" t="s">
        <v>2967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67855.26</v>
      </c>
      <c r="V2408" s="45">
        <f t="shared" si="271"/>
        <v>155724.14</v>
      </c>
      <c r="W2408" s="32">
        <f t="shared" si="272"/>
        <v>67855.26</v>
      </c>
      <c r="X2408" s="32"/>
      <c r="Y2408" s="32">
        <f t="shared" si="268"/>
        <v>67855.26</v>
      </c>
      <c r="Z2408" s="55">
        <f t="shared" si="273"/>
        <v>0</v>
      </c>
      <c r="AA2408" s="59">
        <v>67855.26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ht="14.25" spans="1:34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2060</v>
      </c>
      <c r="F2409" s="51" t="s">
        <v>2060</v>
      </c>
      <c r="G2409" s="51" t="s">
        <v>2060</v>
      </c>
      <c r="H2409" s="51" t="s">
        <v>2965</v>
      </c>
      <c r="I2409" s="20" t="s">
        <v>2966</v>
      </c>
      <c r="J2409" s="20" t="s">
        <v>2967</v>
      </c>
      <c r="K2409" s="20" t="str">
        <f>VLOOKUP(H2409,[1]媒体表!C:T,18,0)</f>
        <v>北京多彩</v>
      </c>
      <c r="L2409" s="51" t="s">
        <v>2061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1"/>
        <v>20003.5</v>
      </c>
      <c r="W2409" s="32">
        <f t="shared" si="272"/>
        <v>0</v>
      </c>
      <c r="X2409" s="32"/>
      <c r="Y2409" s="32">
        <f t="shared" si="268"/>
        <v>0</v>
      </c>
      <c r="Z2409" s="55">
        <f t="shared" si="273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ht="14.25" spans="1:34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2965</v>
      </c>
      <c r="I2410" s="20" t="s">
        <v>2966</v>
      </c>
      <c r="J2410" s="20" t="s">
        <v>2967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1"/>
        <v>1.4495071809506e-12</v>
      </c>
      <c r="W2410" s="32">
        <f t="shared" si="272"/>
        <v>231.9</v>
      </c>
      <c r="X2410" s="32"/>
      <c r="Y2410" s="32">
        <f t="shared" si="268"/>
        <v>231.9</v>
      </c>
      <c r="Z2410" s="55">
        <f t="shared" si="273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ht="14.25" spans="1:34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2965</v>
      </c>
      <c r="I2411" s="20" t="s">
        <v>2966</v>
      </c>
      <c r="J2411" s="20" t="s">
        <v>2967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1"/>
        <v>74654.09</v>
      </c>
      <c r="W2411" s="32">
        <f t="shared" si="272"/>
        <v>0</v>
      </c>
      <c r="X2411" s="32"/>
      <c r="Y2411" s="32">
        <f t="shared" si="268"/>
        <v>0</v>
      </c>
      <c r="Z2411" s="55">
        <f t="shared" si="273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ht="14.25" spans="1:34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2965</v>
      </c>
      <c r="I2412" s="20" t="s">
        <v>2966</v>
      </c>
      <c r="J2412" s="20" t="s">
        <v>2967</v>
      </c>
      <c r="K2412" s="20" t="str">
        <f>VLOOKUP(H2412,[1]媒体表!C:T,18,0)</f>
        <v>北京多彩</v>
      </c>
      <c r="L2412" s="51" t="s">
        <v>2977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1"/>
        <v>0</v>
      </c>
      <c r="W2412" s="32">
        <f t="shared" si="272"/>
        <v>19507.71</v>
      </c>
      <c r="X2412" s="32"/>
      <c r="Y2412" s="32">
        <f t="shared" si="268"/>
        <v>19507.71</v>
      </c>
      <c r="Z2412" s="55">
        <f t="shared" si="273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ht="14.25" spans="1:34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2965</v>
      </c>
      <c r="I2413" s="20" t="s">
        <v>2966</v>
      </c>
      <c r="J2413" s="20" t="s">
        <v>2967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1"/>
        <v>-62.87</v>
      </c>
      <c r="W2413" s="32">
        <f t="shared" si="272"/>
        <v>0</v>
      </c>
      <c r="X2413" s="32"/>
      <c r="Y2413" s="32">
        <f t="shared" si="268"/>
        <v>0</v>
      </c>
      <c r="Z2413" s="55">
        <f t="shared" si="273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ht="14.25" spans="1:34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2965</v>
      </c>
      <c r="I2414" s="20" t="s">
        <v>2966</v>
      </c>
      <c r="J2414" s="20" t="s">
        <v>2967</v>
      </c>
      <c r="K2414" s="20" t="str">
        <f>VLOOKUP(H2414,[1]媒体表!C:T,18,0)</f>
        <v>北京多彩</v>
      </c>
      <c r="L2414" s="51" t="s">
        <v>2978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1"/>
        <v>3743.46</v>
      </c>
      <c r="W2414" s="32">
        <f t="shared" si="272"/>
        <v>0</v>
      </c>
      <c r="X2414" s="32"/>
      <c r="Y2414" s="32">
        <f t="shared" si="268"/>
        <v>0</v>
      </c>
      <c r="Z2414" s="55">
        <f t="shared" si="273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ht="14.25" spans="1:34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1643</v>
      </c>
      <c r="G2415" s="51" t="s">
        <v>216</v>
      </c>
      <c r="H2415" s="51" t="s">
        <v>2965</v>
      </c>
      <c r="I2415" s="20" t="s">
        <v>2966</v>
      </c>
      <c r="J2415" s="20" t="s">
        <v>2967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</v>
      </c>
      <c r="U2415" s="59">
        <v>4304.55</v>
      </c>
      <c r="V2415" s="45">
        <f t="shared" si="271"/>
        <v>4139.65</v>
      </c>
      <c r="W2415" s="32">
        <f t="shared" si="272"/>
        <v>4304.55</v>
      </c>
      <c r="X2415" s="32"/>
      <c r="Y2415" s="32">
        <f t="shared" si="268"/>
        <v>4304.55</v>
      </c>
      <c r="Z2415" s="55">
        <f t="shared" si="273"/>
        <v>0</v>
      </c>
      <c r="AA2415" s="59">
        <v>19046.15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ht="14.25" spans="1:34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2076</v>
      </c>
      <c r="F2416" s="51" t="s">
        <v>2076</v>
      </c>
      <c r="G2416" s="51" t="s">
        <v>2076</v>
      </c>
      <c r="H2416" s="51" t="s">
        <v>2965</v>
      </c>
      <c r="I2416" s="20" t="s">
        <v>2966</v>
      </c>
      <c r="J2416" s="20" t="s">
        <v>2967</v>
      </c>
      <c r="K2416" s="20" t="str">
        <f>VLOOKUP(H2416,[1]媒体表!C:T,18,0)</f>
        <v>北京多彩</v>
      </c>
      <c r="L2416" s="51" t="s">
        <v>2076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1"/>
        <v>506.779999999999</v>
      </c>
      <c r="W2416" s="32">
        <f t="shared" si="272"/>
        <v>12535.43</v>
      </c>
      <c r="X2416" s="32"/>
      <c r="Y2416" s="32">
        <f t="shared" si="268"/>
        <v>12535.43</v>
      </c>
      <c r="Z2416" s="55">
        <f t="shared" si="273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ht="14.25" spans="1:34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2965</v>
      </c>
      <c r="I2417" s="20" t="s">
        <v>2966</v>
      </c>
      <c r="J2417" s="20" t="s">
        <v>2967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1"/>
        <v>9033.51</v>
      </c>
      <c r="W2417" s="32">
        <f t="shared" si="272"/>
        <v>2083.54</v>
      </c>
      <c r="X2417" s="32"/>
      <c r="Y2417" s="32">
        <f t="shared" si="268"/>
        <v>2083.54</v>
      </c>
      <c r="Z2417" s="55">
        <f t="shared" si="273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ht="14.25" spans="1:34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2965</v>
      </c>
      <c r="I2418" s="20" t="s">
        <v>2966</v>
      </c>
      <c r="J2418" s="20" t="s">
        <v>2967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1"/>
        <v>0</v>
      </c>
      <c r="W2418" s="32">
        <f t="shared" si="272"/>
        <v>168.9</v>
      </c>
      <c r="X2418" s="32"/>
      <c r="Y2418" s="32">
        <f t="shared" si="268"/>
        <v>168.9</v>
      </c>
      <c r="Z2418" s="55">
        <f t="shared" si="273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ht="14.25" spans="1:34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2979</v>
      </c>
      <c r="F2419" s="51" t="s">
        <v>2979</v>
      </c>
      <c r="G2419" s="51" t="s">
        <v>2979</v>
      </c>
      <c r="H2419" s="51" t="s">
        <v>2965</v>
      </c>
      <c r="I2419" s="20" t="s">
        <v>2966</v>
      </c>
      <c r="J2419" s="20" t="s">
        <v>2967</v>
      </c>
      <c r="K2419" s="20" t="str">
        <f>VLOOKUP(H2419,[1]媒体表!C:T,18,0)</f>
        <v>北京多彩</v>
      </c>
      <c r="L2419" s="51" t="s">
        <v>2979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1"/>
        <v>-81.0999999999767</v>
      </c>
      <c r="W2419" s="32">
        <f t="shared" si="272"/>
        <v>0</v>
      </c>
      <c r="X2419" s="32"/>
      <c r="Y2419" s="32">
        <f t="shared" si="268"/>
        <v>0</v>
      </c>
      <c r="Z2419" s="55">
        <f t="shared" si="273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ht="14.25" spans="1:34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2980</v>
      </c>
      <c r="G2420" s="51" t="s">
        <v>233</v>
      </c>
      <c r="H2420" s="51" t="s">
        <v>2965</v>
      </c>
      <c r="I2420" s="20" t="s">
        <v>2966</v>
      </c>
      <c r="J2420" s="20" t="s">
        <v>2967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1"/>
        <v>43216.85</v>
      </c>
      <c r="W2420" s="32">
        <f t="shared" si="272"/>
        <v>0</v>
      </c>
      <c r="X2420" s="32"/>
      <c r="Y2420" s="32">
        <f t="shared" si="268"/>
        <v>0</v>
      </c>
      <c r="Z2420" s="55">
        <f t="shared" si="273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ht="14.25" spans="1:34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2980</v>
      </c>
      <c r="G2421" s="51" t="s">
        <v>233</v>
      </c>
      <c r="H2421" s="51" t="s">
        <v>2965</v>
      </c>
      <c r="I2421" s="20" t="s">
        <v>2966</v>
      </c>
      <c r="J2421" s="20" t="s">
        <v>2967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1"/>
        <v>47853.4</v>
      </c>
      <c r="W2421" s="32">
        <f t="shared" si="272"/>
        <v>0</v>
      </c>
      <c r="X2421" s="32"/>
      <c r="Y2421" s="32">
        <f t="shared" si="268"/>
        <v>0</v>
      </c>
      <c r="Z2421" s="55">
        <f t="shared" si="273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ht="14.25" spans="1:34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2981</v>
      </c>
      <c r="G2422" s="51" t="s">
        <v>233</v>
      </c>
      <c r="H2422" s="51" t="s">
        <v>2965</v>
      </c>
      <c r="I2422" s="20" t="s">
        <v>2966</v>
      </c>
      <c r="J2422" s="20" t="s">
        <v>2967</v>
      </c>
      <c r="K2422" s="20" t="str">
        <f>VLOOKUP(H2422,[1]媒体表!C:T,18,0)</f>
        <v>北京多彩</v>
      </c>
      <c r="L2422" s="51" t="s">
        <v>2982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1"/>
        <v>0</v>
      </c>
      <c r="W2422" s="32">
        <f t="shared" si="272"/>
        <v>44528.39</v>
      </c>
      <c r="X2422" s="32"/>
      <c r="Y2422" s="32">
        <f t="shared" si="268"/>
        <v>44528.39</v>
      </c>
      <c r="Z2422" s="55">
        <f t="shared" si="273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ht="14.25" spans="1:34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2085</v>
      </c>
      <c r="F2423" s="51" t="s">
        <v>2086</v>
      </c>
      <c r="G2423" s="51" t="s">
        <v>2085</v>
      </c>
      <c r="H2423" s="51" t="s">
        <v>2965</v>
      </c>
      <c r="I2423" s="20" t="s">
        <v>2966</v>
      </c>
      <c r="J2423" s="20" t="s">
        <v>2967</v>
      </c>
      <c r="K2423" s="20" t="str">
        <f>VLOOKUP(H2423,[1]媒体表!C:T,18,0)</f>
        <v>北京多彩</v>
      </c>
      <c r="L2423" s="51" t="s">
        <v>2085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1"/>
        <v>18209.42</v>
      </c>
      <c r="W2423" s="32">
        <f t="shared" si="272"/>
        <v>1790.58</v>
      </c>
      <c r="X2423" s="32"/>
      <c r="Y2423" s="32">
        <f t="shared" si="268"/>
        <v>1790.58</v>
      </c>
      <c r="Z2423" s="55">
        <f t="shared" si="273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2983</v>
      </c>
      <c r="AF2423" s="51" t="s">
        <v>53</v>
      </c>
      <c r="AG2423" s="58">
        <v>0</v>
      </c>
      <c r="AH2423" s="38" t="e">
        <v>#N/A</v>
      </c>
    </row>
    <row r="2424" ht="14.25" spans="1:34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2085</v>
      </c>
      <c r="F2424" s="51" t="s">
        <v>2984</v>
      </c>
      <c r="G2424" s="51" t="s">
        <v>2085</v>
      </c>
      <c r="H2424" s="51" t="s">
        <v>2965</v>
      </c>
      <c r="I2424" s="20" t="s">
        <v>2966</v>
      </c>
      <c r="J2424" s="20" t="s">
        <v>2967</v>
      </c>
      <c r="K2424" s="20" t="str">
        <f>VLOOKUP(H2424,[1]媒体表!C:T,18,0)</f>
        <v>北京多彩</v>
      </c>
      <c r="L2424" s="51" t="s">
        <v>2085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1"/>
        <v>0</v>
      </c>
      <c r="W2424" s="32">
        <f t="shared" si="272"/>
        <v>25649.33</v>
      </c>
      <c r="X2424" s="32"/>
      <c r="Y2424" s="32">
        <f t="shared" ref="Y2424:Y2487" si="274">W2424+X2424</f>
        <v>25649.33</v>
      </c>
      <c r="Z2424" s="55">
        <f t="shared" si="273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ht="14.25" spans="1:34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2985</v>
      </c>
      <c r="F2425" s="51" t="s">
        <v>2985</v>
      </c>
      <c r="G2425" s="51" t="s">
        <v>2985</v>
      </c>
      <c r="H2425" s="51" t="s">
        <v>2965</v>
      </c>
      <c r="I2425" s="20" t="s">
        <v>2966</v>
      </c>
      <c r="J2425" s="20" t="s">
        <v>2967</v>
      </c>
      <c r="K2425" s="20" t="str">
        <f>VLOOKUP(H2425,[1]媒体表!C:T,18,0)</f>
        <v>北京多彩</v>
      </c>
      <c r="L2425" s="51" t="s">
        <v>2985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1"/>
        <v>199.9</v>
      </c>
      <c r="W2425" s="32">
        <f t="shared" si="272"/>
        <v>0</v>
      </c>
      <c r="X2425" s="32"/>
      <c r="Y2425" s="32">
        <f t="shared" si="274"/>
        <v>0</v>
      </c>
      <c r="Z2425" s="55">
        <f t="shared" si="273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ht="14.25" spans="1:34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2986</v>
      </c>
      <c r="F2426" s="51" t="s">
        <v>2986</v>
      </c>
      <c r="G2426" s="51" t="s">
        <v>2986</v>
      </c>
      <c r="H2426" s="51" t="s">
        <v>2965</v>
      </c>
      <c r="I2426" s="20" t="s">
        <v>2966</v>
      </c>
      <c r="J2426" s="20" t="s">
        <v>2967</v>
      </c>
      <c r="K2426" s="20" t="str">
        <f>VLOOKUP(H2426,[1]媒体表!C:T,18,0)</f>
        <v>北京多彩</v>
      </c>
      <c r="L2426" s="51" t="s">
        <v>2987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1"/>
        <v>4.5</v>
      </c>
      <c r="W2426" s="32">
        <f t="shared" si="272"/>
        <v>0</v>
      </c>
      <c r="X2426" s="32"/>
      <c r="Y2426" s="32">
        <f t="shared" si="274"/>
        <v>0</v>
      </c>
      <c r="Z2426" s="55">
        <f t="shared" si="273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ht="14.25" spans="1:34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2988</v>
      </c>
      <c r="F2427" s="51" t="s">
        <v>2988</v>
      </c>
      <c r="G2427" s="51" t="s">
        <v>2988</v>
      </c>
      <c r="H2427" s="51" t="s">
        <v>2965</v>
      </c>
      <c r="I2427" s="20" t="s">
        <v>2966</v>
      </c>
      <c r="J2427" s="20" t="s">
        <v>2967</v>
      </c>
      <c r="K2427" s="20" t="str">
        <f>VLOOKUP(H2427,[1]媒体表!C:T,18,0)</f>
        <v>北京多彩</v>
      </c>
      <c r="L2427" s="51" t="s">
        <v>2977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</v>
      </c>
      <c r="T2427" s="59">
        <v>-32468.4</v>
      </c>
      <c r="U2427" s="59">
        <v>0</v>
      </c>
      <c r="V2427" s="45">
        <f t="shared" si="271"/>
        <v>0</v>
      </c>
      <c r="W2427" s="32">
        <f t="shared" si="272"/>
        <v>0</v>
      </c>
      <c r="X2427" s="32"/>
      <c r="Y2427" s="32">
        <f t="shared" si="274"/>
        <v>0</v>
      </c>
      <c r="Z2427" s="55">
        <f t="shared" si="273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ht="14.25" spans="1:34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2965</v>
      </c>
      <c r="I2428" s="20" t="s">
        <v>2966</v>
      </c>
      <c r="J2428" s="20" t="s">
        <v>2967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1"/>
        <v>0</v>
      </c>
      <c r="W2428" s="32">
        <f t="shared" si="272"/>
        <v>31923.77</v>
      </c>
      <c r="X2428" s="32">
        <f>W2428*R2428</f>
        <v>638.4754</v>
      </c>
      <c r="Y2428" s="32">
        <f t="shared" si="274"/>
        <v>32562.2454</v>
      </c>
      <c r="Z2428" s="55">
        <f t="shared" si="273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ht="14.25" spans="1:34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2989</v>
      </c>
      <c r="F2429" s="51" t="s">
        <v>2989</v>
      </c>
      <c r="G2429" s="51" t="s">
        <v>2989</v>
      </c>
      <c r="H2429" s="51" t="s">
        <v>2965</v>
      </c>
      <c r="I2429" s="20" t="s">
        <v>2966</v>
      </c>
      <c r="J2429" s="20" t="s">
        <v>2967</v>
      </c>
      <c r="K2429" s="20" t="str">
        <f>VLOOKUP(H2429,[1]媒体表!C:T,18,0)</f>
        <v>北京多彩</v>
      </c>
      <c r="L2429" s="51" t="s">
        <v>2989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1"/>
        <v>10000</v>
      </c>
      <c r="W2429" s="32">
        <f t="shared" si="272"/>
        <v>0</v>
      </c>
      <c r="X2429" s="32"/>
      <c r="Y2429" s="32">
        <f t="shared" si="274"/>
        <v>0</v>
      </c>
      <c r="Z2429" s="55">
        <f t="shared" si="273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ht="14.25" spans="1:34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2965</v>
      </c>
      <c r="I2430" s="20" t="s">
        <v>2966</v>
      </c>
      <c r="J2430" s="20" t="s">
        <v>2967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</v>
      </c>
      <c r="T2430" s="59"/>
      <c r="U2430" s="59">
        <v>0</v>
      </c>
      <c r="V2430" s="45">
        <f t="shared" si="271"/>
        <v>150.110000000001</v>
      </c>
      <c r="W2430" s="32">
        <f t="shared" si="272"/>
        <v>0</v>
      </c>
      <c r="X2430" s="32"/>
      <c r="Y2430" s="32">
        <f t="shared" si="274"/>
        <v>0</v>
      </c>
      <c r="Z2430" s="55">
        <f t="shared" si="273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ht="14.25" spans="1:34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2965</v>
      </c>
      <c r="I2431" s="20" t="s">
        <v>2966</v>
      </c>
      <c r="J2431" s="20" t="s">
        <v>2967</v>
      </c>
      <c r="K2431" s="20" t="str">
        <f>VLOOKUP(H2431,[1]媒体表!C:T,18,0)</f>
        <v>北京多彩</v>
      </c>
      <c r="L2431" s="51" t="s">
        <v>2105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9573.97</v>
      </c>
      <c r="T2431" s="59"/>
      <c r="U2431" s="59">
        <v>0</v>
      </c>
      <c r="V2431" s="45">
        <f t="shared" si="271"/>
        <v>9573.97</v>
      </c>
      <c r="W2431" s="32">
        <f t="shared" si="272"/>
        <v>0</v>
      </c>
      <c r="X2431" s="32"/>
      <c r="Y2431" s="32">
        <f t="shared" si="274"/>
        <v>0</v>
      </c>
      <c r="Z2431" s="55">
        <f t="shared" si="273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ht="14.25" spans="1:34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2965</v>
      </c>
      <c r="I2432" s="20" t="s">
        <v>2966</v>
      </c>
      <c r="J2432" s="20" t="s">
        <v>2967</v>
      </c>
      <c r="K2432" s="20" t="str">
        <f>VLOOKUP(H2432,[1]媒体表!C:T,18,0)</f>
        <v>北京多彩</v>
      </c>
      <c r="L2432" s="51" t="s">
        <v>2990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1"/>
        <v>0</v>
      </c>
      <c r="W2432" s="32">
        <f t="shared" si="272"/>
        <v>195476.22</v>
      </c>
      <c r="X2432" s="32">
        <f>W2432*R2432</f>
        <v>5864.2866</v>
      </c>
      <c r="Y2432" s="32">
        <f t="shared" si="274"/>
        <v>201340.5066</v>
      </c>
      <c r="Z2432" s="55">
        <f t="shared" si="273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ht="14.25" spans="1:34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2991</v>
      </c>
      <c r="F2433" s="51" t="s">
        <v>2991</v>
      </c>
      <c r="G2433" s="51" t="s">
        <v>2991</v>
      </c>
      <c r="H2433" s="51" t="s">
        <v>2965</v>
      </c>
      <c r="I2433" s="20" t="s">
        <v>2966</v>
      </c>
      <c r="J2433" s="20" t="s">
        <v>2967</v>
      </c>
      <c r="K2433" s="20" t="str">
        <f>VLOOKUP(H2433,[1]媒体表!C:T,18,0)</f>
        <v>北京多彩</v>
      </c>
      <c r="L2433" s="51" t="s">
        <v>2991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</v>
      </c>
      <c r="T2433" s="59"/>
      <c r="U2433" s="59">
        <v>0</v>
      </c>
      <c r="V2433" s="45">
        <f t="shared" si="271"/>
        <v>0.229999999999997</v>
      </c>
      <c r="W2433" s="32">
        <f t="shared" si="272"/>
        <v>0</v>
      </c>
      <c r="X2433" s="32"/>
      <c r="Y2433" s="32">
        <f t="shared" si="274"/>
        <v>0</v>
      </c>
      <c r="Z2433" s="55">
        <f t="shared" si="273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ht="14.25" spans="1:34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2965</v>
      </c>
      <c r="I2434" s="20" t="s">
        <v>2966</v>
      </c>
      <c r="J2434" s="20" t="s">
        <v>2967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1"/>
        <v>2040078.46</v>
      </c>
      <c r="W2434" s="32">
        <f t="shared" si="272"/>
        <v>959921.54</v>
      </c>
      <c r="X2434" s="32"/>
      <c r="Y2434" s="32">
        <f t="shared" si="274"/>
        <v>959921.54</v>
      </c>
      <c r="Z2434" s="55">
        <f t="shared" si="273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ht="14.25" spans="1:34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2992</v>
      </c>
      <c r="G2435" s="51" t="s">
        <v>342</v>
      </c>
      <c r="H2435" s="51" t="s">
        <v>2965</v>
      </c>
      <c r="I2435" s="20" t="s">
        <v>2966</v>
      </c>
      <c r="J2435" s="20" t="s">
        <v>2967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</v>
      </c>
      <c r="V2435" s="45">
        <f t="shared" si="271"/>
        <v>-13.6000000000022</v>
      </c>
      <c r="W2435" s="32">
        <f t="shared" si="272"/>
        <v>18752.9</v>
      </c>
      <c r="X2435" s="32"/>
      <c r="Y2435" s="32">
        <f t="shared" si="274"/>
        <v>18752.9</v>
      </c>
      <c r="Z2435" s="55">
        <f t="shared" si="273"/>
        <v>0</v>
      </c>
      <c r="AA2435" s="59">
        <v>18752.9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ht="14.25" spans="1:34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2965</v>
      </c>
      <c r="I2436" s="20" t="s">
        <v>2966</v>
      </c>
      <c r="J2436" s="20" t="s">
        <v>2967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422626.630000001</v>
      </c>
      <c r="T2436" s="59">
        <v>3600000</v>
      </c>
      <c r="U2436" s="59">
        <v>3131529.66</v>
      </c>
      <c r="V2436" s="45">
        <f t="shared" si="271"/>
        <v>891096.970000001</v>
      </c>
      <c r="W2436" s="32">
        <f t="shared" si="272"/>
        <v>3131529.66</v>
      </c>
      <c r="X2436" s="32">
        <f>W2436*R2436</f>
        <v>93945.8898</v>
      </c>
      <c r="Y2436" s="32">
        <f t="shared" si="274"/>
        <v>3225475.5498</v>
      </c>
      <c r="Z2436" s="55">
        <f t="shared" si="273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ht="14.25" spans="1:34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2965</v>
      </c>
      <c r="I2437" s="20" t="s">
        <v>2966</v>
      </c>
      <c r="J2437" s="20" t="s">
        <v>2967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</v>
      </c>
      <c r="T2437" s="59"/>
      <c r="U2437" s="59">
        <v>94.08</v>
      </c>
      <c r="V2437" s="45">
        <f t="shared" si="271"/>
        <v>-13.1000000000004</v>
      </c>
      <c r="W2437" s="32">
        <f t="shared" si="272"/>
        <v>94.08</v>
      </c>
      <c r="X2437" s="32"/>
      <c r="Y2437" s="32">
        <f t="shared" si="274"/>
        <v>94.08</v>
      </c>
      <c r="Z2437" s="55">
        <f t="shared" si="273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ht="14.25" spans="1:34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1688</v>
      </c>
      <c r="F2438" s="51" t="s">
        <v>1689</v>
      </c>
      <c r="G2438" s="51" t="s">
        <v>1688</v>
      </c>
      <c r="H2438" s="51" t="s">
        <v>2965</v>
      </c>
      <c r="I2438" s="20" t="s">
        <v>2966</v>
      </c>
      <c r="J2438" s="20" t="s">
        <v>2967</v>
      </c>
      <c r="K2438" s="20" t="str">
        <f>VLOOKUP(H2438,[1]媒体表!C:T,18,0)</f>
        <v>北京多彩</v>
      </c>
      <c r="L2438" s="51" t="s">
        <v>2993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1"/>
        <v>5.7</v>
      </c>
      <c r="W2438" s="32">
        <f t="shared" si="272"/>
        <v>0</v>
      </c>
      <c r="X2438" s="32"/>
      <c r="Y2438" s="32">
        <f t="shared" si="274"/>
        <v>0</v>
      </c>
      <c r="Z2438" s="55">
        <f t="shared" si="273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ht="14.25" spans="1:34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1688</v>
      </c>
      <c r="F2439" s="51" t="s">
        <v>1689</v>
      </c>
      <c r="G2439" s="51" t="s">
        <v>1688</v>
      </c>
      <c r="H2439" s="51" t="s">
        <v>2965</v>
      </c>
      <c r="I2439" s="20" t="s">
        <v>2966</v>
      </c>
      <c r="J2439" s="20" t="s">
        <v>2967</v>
      </c>
      <c r="K2439" s="20" t="str">
        <f>VLOOKUP(H2439,[1]媒体表!C:T,18,0)</f>
        <v>北京多彩</v>
      </c>
      <c r="L2439" s="51" t="s">
        <v>1688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</v>
      </c>
      <c r="T2439" s="59"/>
      <c r="U2439" s="59">
        <v>0</v>
      </c>
      <c r="V2439" s="45">
        <f t="shared" si="271"/>
        <v>-72.4</v>
      </c>
      <c r="W2439" s="32">
        <f t="shared" si="272"/>
        <v>0</v>
      </c>
      <c r="X2439" s="32"/>
      <c r="Y2439" s="32">
        <f t="shared" si="274"/>
        <v>0</v>
      </c>
      <c r="Z2439" s="55">
        <f t="shared" si="273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ht="14.25" spans="1:34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1688</v>
      </c>
      <c r="F2440" s="51" t="s">
        <v>2994</v>
      </c>
      <c r="G2440" s="51" t="s">
        <v>1688</v>
      </c>
      <c r="H2440" s="51" t="s">
        <v>2965</v>
      </c>
      <c r="I2440" s="20" t="s">
        <v>2966</v>
      </c>
      <c r="J2440" s="20" t="s">
        <v>2967</v>
      </c>
      <c r="K2440" s="20" t="str">
        <f>VLOOKUP(H2440,[1]媒体表!C:T,18,0)</f>
        <v>北京多彩</v>
      </c>
      <c r="L2440" s="51" t="s">
        <v>2847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1"/>
        <v>655925.45</v>
      </c>
      <c r="W2440" s="32">
        <f t="shared" si="272"/>
        <v>1382275.2</v>
      </c>
      <c r="X2440" s="32"/>
      <c r="Y2440" s="32">
        <f t="shared" si="274"/>
        <v>1382275.2</v>
      </c>
      <c r="Z2440" s="55">
        <f t="shared" si="273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ht="14.25" spans="1:34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2965</v>
      </c>
      <c r="I2441" s="20" t="s">
        <v>2966</v>
      </c>
      <c r="J2441" s="20" t="s">
        <v>2967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1"/>
        <v>23422.32</v>
      </c>
      <c r="W2441" s="32">
        <f t="shared" si="272"/>
        <v>0</v>
      </c>
      <c r="X2441" s="32"/>
      <c r="Y2441" s="32">
        <f t="shared" si="274"/>
        <v>0</v>
      </c>
      <c r="Z2441" s="55">
        <f t="shared" si="273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ht="14.25" spans="1:34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2965</v>
      </c>
      <c r="I2442" s="20" t="s">
        <v>2966</v>
      </c>
      <c r="J2442" s="20" t="s">
        <v>2967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1"/>
        <v>2303176.19</v>
      </c>
      <c r="W2442" s="32">
        <f t="shared" si="272"/>
        <v>3068.9</v>
      </c>
      <c r="X2442" s="32"/>
      <c r="Y2442" s="32">
        <f t="shared" si="274"/>
        <v>3068.9</v>
      </c>
      <c r="Z2442" s="55">
        <f t="shared" si="273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ht="14.25" spans="1:34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2965</v>
      </c>
      <c r="I2443" s="20" t="s">
        <v>2966</v>
      </c>
      <c r="J2443" s="20" t="s">
        <v>2967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1"/>
        <v>449422.6</v>
      </c>
      <c r="W2443" s="32">
        <f t="shared" si="272"/>
        <v>0</v>
      </c>
      <c r="X2443" s="32"/>
      <c r="Y2443" s="32">
        <f t="shared" si="274"/>
        <v>0</v>
      </c>
      <c r="Z2443" s="55">
        <f t="shared" si="273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ht="14.25" spans="1:34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2995</v>
      </c>
      <c r="F2444" s="51" t="s">
        <v>2995</v>
      </c>
      <c r="G2444" s="51" t="s">
        <v>2995</v>
      </c>
      <c r="H2444" s="51" t="s">
        <v>2965</v>
      </c>
      <c r="I2444" s="20" t="s">
        <v>2966</v>
      </c>
      <c r="J2444" s="20" t="s">
        <v>2967</v>
      </c>
      <c r="K2444" s="20" t="str">
        <f>VLOOKUP(H2444,[1]媒体表!C:T,18,0)</f>
        <v>北京多彩</v>
      </c>
      <c r="L2444" s="51" t="s">
        <v>2995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1"/>
        <v>17948.7</v>
      </c>
      <c r="W2444" s="32">
        <f t="shared" si="272"/>
        <v>0</v>
      </c>
      <c r="X2444" s="32"/>
      <c r="Y2444" s="32">
        <f t="shared" si="274"/>
        <v>0</v>
      </c>
      <c r="Z2444" s="55">
        <f t="shared" si="273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ht="14.25" spans="1:34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2996</v>
      </c>
      <c r="F2445" s="51" t="s">
        <v>2996</v>
      </c>
      <c r="G2445" s="51" t="s">
        <v>2996</v>
      </c>
      <c r="H2445" s="51" t="s">
        <v>2965</v>
      </c>
      <c r="I2445" s="20" t="s">
        <v>2966</v>
      </c>
      <c r="J2445" s="20" t="s">
        <v>2967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1"/>
        <v>99918.34</v>
      </c>
      <c r="W2445" s="32">
        <f t="shared" si="272"/>
        <v>0</v>
      </c>
      <c r="X2445" s="32"/>
      <c r="Y2445" s="32">
        <f t="shared" si="274"/>
        <v>0</v>
      </c>
      <c r="Z2445" s="55">
        <f t="shared" si="273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ht="14.25" spans="1:34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2965</v>
      </c>
      <c r="I2446" s="20" t="s">
        <v>2966</v>
      </c>
      <c r="J2446" s="20" t="s">
        <v>2967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</v>
      </c>
      <c r="T2446" s="59"/>
      <c r="U2446" s="59">
        <v>428.73</v>
      </c>
      <c r="V2446" s="45">
        <f t="shared" si="271"/>
        <v>99116.2100000002</v>
      </c>
      <c r="W2446" s="32">
        <f t="shared" si="272"/>
        <v>428.73</v>
      </c>
      <c r="X2446" s="32">
        <f>W2446*5%</f>
        <v>21.4365</v>
      </c>
      <c r="Y2446" s="32">
        <f t="shared" si="274"/>
        <v>450.1665</v>
      </c>
      <c r="Z2446" s="55">
        <f t="shared" si="273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ht="14.25" spans="1:34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2965</v>
      </c>
      <c r="I2447" s="20" t="s">
        <v>2966</v>
      </c>
      <c r="J2447" s="20" t="s">
        <v>2967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</v>
      </c>
      <c r="V2447" s="45">
        <f t="shared" si="271"/>
        <v>1041938.6</v>
      </c>
      <c r="W2447" s="32">
        <f t="shared" si="272"/>
        <v>1059365.62</v>
      </c>
      <c r="X2447" s="32">
        <v>43543.03</v>
      </c>
      <c r="Y2447" s="32">
        <f t="shared" si="274"/>
        <v>1102908.65</v>
      </c>
      <c r="Z2447" s="55">
        <f t="shared" si="273"/>
        <v>0</v>
      </c>
      <c r="AA2447" s="59">
        <v>1059365.62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ht="14.25" spans="1:34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2144</v>
      </c>
      <c r="F2448" s="51" t="s">
        <v>2144</v>
      </c>
      <c r="G2448" s="51" t="s">
        <v>2144</v>
      </c>
      <c r="H2448" s="51" t="s">
        <v>2965</v>
      </c>
      <c r="I2448" s="20" t="s">
        <v>2966</v>
      </c>
      <c r="J2448" s="20" t="s">
        <v>2967</v>
      </c>
      <c r="K2448" s="20" t="str">
        <f>VLOOKUP(H2448,[1]媒体表!C:T,18,0)</f>
        <v>北京多彩</v>
      </c>
      <c r="L2448" s="51" t="s">
        <v>2997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1"/>
        <v>0</v>
      </c>
      <c r="W2448" s="32">
        <f t="shared" si="272"/>
        <v>4069.5</v>
      </c>
      <c r="X2448" s="32"/>
      <c r="Y2448" s="32">
        <f t="shared" si="274"/>
        <v>4069.5</v>
      </c>
      <c r="Z2448" s="55">
        <f t="shared" si="273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ht="14.25" spans="1:34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2965</v>
      </c>
      <c r="I2449" s="20" t="s">
        <v>2966</v>
      </c>
      <c r="J2449" s="20" t="s">
        <v>2967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</v>
      </c>
      <c r="T2449" s="59"/>
      <c r="U2449" s="59">
        <v>0</v>
      </c>
      <c r="V2449" s="45">
        <f t="shared" si="271"/>
        <v>-273.16</v>
      </c>
      <c r="W2449" s="32">
        <f t="shared" si="272"/>
        <v>0</v>
      </c>
      <c r="X2449" s="32"/>
      <c r="Y2449" s="32">
        <f t="shared" si="274"/>
        <v>0</v>
      </c>
      <c r="Z2449" s="55">
        <f t="shared" si="273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ht="14.25" spans="1:34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2965</v>
      </c>
      <c r="I2450" s="20" t="s">
        <v>2966</v>
      </c>
      <c r="J2450" s="20" t="s">
        <v>2967</v>
      </c>
      <c r="K2450" s="20" t="str">
        <f>VLOOKUP(H2450,[1]媒体表!C:T,18,0)</f>
        <v>北京多彩</v>
      </c>
      <c r="L2450" s="51" t="s">
        <v>1759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1"/>
        <v>6731.02</v>
      </c>
      <c r="W2450" s="32">
        <f t="shared" si="272"/>
        <v>19960.27</v>
      </c>
      <c r="X2450" s="32"/>
      <c r="Y2450" s="32">
        <f t="shared" si="274"/>
        <v>19960.27</v>
      </c>
      <c r="Z2450" s="55">
        <f t="shared" si="273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ht="14.25" spans="1:34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2965</v>
      </c>
      <c r="I2451" s="20" t="s">
        <v>2966</v>
      </c>
      <c r="J2451" s="20" t="s">
        <v>2967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1"/>
        <v>-45.5999999999985</v>
      </c>
      <c r="W2451" s="32">
        <f t="shared" si="272"/>
        <v>0</v>
      </c>
      <c r="X2451" s="32"/>
      <c r="Y2451" s="32">
        <f t="shared" si="274"/>
        <v>0</v>
      </c>
      <c r="Z2451" s="55">
        <f t="shared" si="273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ht="14.25" spans="1:34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2965</v>
      </c>
      <c r="I2452" s="20" t="s">
        <v>2966</v>
      </c>
      <c r="J2452" s="20" t="s">
        <v>2967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</v>
      </c>
      <c r="T2452" s="59"/>
      <c r="U2452" s="59">
        <v>42337.51</v>
      </c>
      <c r="V2452" s="45">
        <f t="shared" si="271"/>
        <v>19162.65</v>
      </c>
      <c r="W2452" s="32">
        <f t="shared" si="272"/>
        <v>42337.51</v>
      </c>
      <c r="X2452" s="32"/>
      <c r="Y2452" s="32">
        <f t="shared" si="274"/>
        <v>42337.51</v>
      </c>
      <c r="Z2452" s="55">
        <f t="shared" si="273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ht="14.25" spans="1:34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2183</v>
      </c>
      <c r="F2453" s="51" t="s">
        <v>2183</v>
      </c>
      <c r="G2453" s="51" t="s">
        <v>2183</v>
      </c>
      <c r="H2453" s="51" t="s">
        <v>2965</v>
      </c>
      <c r="I2453" s="20" t="s">
        <v>2966</v>
      </c>
      <c r="J2453" s="20" t="s">
        <v>2967</v>
      </c>
      <c r="K2453" s="20" t="str">
        <f>VLOOKUP(H2453,[1]媒体表!C:T,18,0)</f>
        <v>北京多彩</v>
      </c>
      <c r="L2453" s="51" t="s">
        <v>2998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79245.18</v>
      </c>
      <c r="T2453" s="59">
        <v>29126.21</v>
      </c>
      <c r="U2453" s="59">
        <v>75641.3</v>
      </c>
      <c r="V2453" s="45">
        <f t="shared" si="271"/>
        <v>32730.09</v>
      </c>
      <c r="W2453" s="32">
        <f t="shared" si="272"/>
        <v>75641.3</v>
      </c>
      <c r="X2453" s="32">
        <f t="shared" ref="X2453:X2457" si="275">W2453*R2453</f>
        <v>2269.239</v>
      </c>
      <c r="Y2453" s="32">
        <f t="shared" si="274"/>
        <v>77910.539</v>
      </c>
      <c r="Z2453" s="55">
        <f t="shared" si="273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ht="14.25" spans="1:34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2999</v>
      </c>
      <c r="F2454" s="51" t="s">
        <v>2999</v>
      </c>
      <c r="G2454" s="51" t="s">
        <v>2999</v>
      </c>
      <c r="H2454" s="51" t="s">
        <v>2965</v>
      </c>
      <c r="I2454" s="20" t="s">
        <v>2966</v>
      </c>
      <c r="J2454" s="20" t="s">
        <v>2967</v>
      </c>
      <c r="K2454" s="20" t="str">
        <f>VLOOKUP(H2454,[1]媒体表!C:T,18,0)</f>
        <v>北京多彩</v>
      </c>
      <c r="L2454" s="51" t="s">
        <v>3000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71133.76</v>
      </c>
      <c r="T2454" s="59"/>
      <c r="U2454" s="59">
        <v>60205.5</v>
      </c>
      <c r="V2454" s="45">
        <f t="shared" si="271"/>
        <v>10928.26</v>
      </c>
      <c r="W2454" s="32">
        <f t="shared" si="272"/>
        <v>60205.5</v>
      </c>
      <c r="X2454" s="32"/>
      <c r="Y2454" s="32">
        <f t="shared" si="274"/>
        <v>60205.5</v>
      </c>
      <c r="Z2454" s="55">
        <f t="shared" si="273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ht="14.25" spans="1:34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2965</v>
      </c>
      <c r="I2455" s="20" t="s">
        <v>2966</v>
      </c>
      <c r="J2455" s="20" t="s">
        <v>2967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1"/>
        <v>4064.1</v>
      </c>
      <c r="W2455" s="32">
        <f t="shared" si="272"/>
        <v>19753.96</v>
      </c>
      <c r="X2455" s="32">
        <f t="shared" si="275"/>
        <v>592.6188</v>
      </c>
      <c r="Y2455" s="32">
        <f t="shared" si="274"/>
        <v>20346.5788</v>
      </c>
      <c r="Z2455" s="55">
        <f t="shared" si="273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ht="14.25" spans="1:34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2187</v>
      </c>
      <c r="F2456" s="51" t="s">
        <v>2187</v>
      </c>
      <c r="G2456" s="51" t="s">
        <v>2187</v>
      </c>
      <c r="H2456" s="51" t="s">
        <v>2965</v>
      </c>
      <c r="I2456" s="20" t="s">
        <v>2966</v>
      </c>
      <c r="J2456" s="20" t="s">
        <v>2967</v>
      </c>
      <c r="K2456" s="20" t="str">
        <f>VLOOKUP(H2456,[1]媒体表!C:T,18,0)</f>
        <v>北京多彩</v>
      </c>
      <c r="L2456" s="51" t="s">
        <v>2187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1"/>
        <v>43324.86</v>
      </c>
      <c r="W2456" s="32">
        <f t="shared" si="272"/>
        <v>80813.42</v>
      </c>
      <c r="X2456" s="32">
        <f t="shared" si="275"/>
        <v>2424.4026</v>
      </c>
      <c r="Y2456" s="32">
        <f t="shared" si="274"/>
        <v>83237.8226</v>
      </c>
      <c r="Z2456" s="55">
        <f t="shared" si="273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ht="14.25" spans="1:34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3001</v>
      </c>
      <c r="F2457" s="51" t="s">
        <v>3001</v>
      </c>
      <c r="G2457" s="51" t="s">
        <v>3001</v>
      </c>
      <c r="H2457" s="51" t="s">
        <v>2965</v>
      </c>
      <c r="I2457" s="20" t="s">
        <v>2966</v>
      </c>
      <c r="J2457" s="20" t="s">
        <v>2967</v>
      </c>
      <c r="K2457" s="20" t="str">
        <f>VLOOKUP(H2457,[1]媒体表!C:T,18,0)</f>
        <v>北京多彩</v>
      </c>
      <c r="L2457" s="58" t="s">
        <v>3001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1"/>
        <v>3222.89</v>
      </c>
      <c r="W2457" s="32">
        <f t="shared" si="272"/>
        <v>11782.49</v>
      </c>
      <c r="X2457" s="32">
        <f t="shared" si="275"/>
        <v>471.2996</v>
      </c>
      <c r="Y2457" s="32">
        <f t="shared" si="274"/>
        <v>12253.7896</v>
      </c>
      <c r="Z2457" s="55">
        <f t="shared" si="273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ht="14.25" spans="1:34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3002</v>
      </c>
      <c r="F2458" s="51" t="s">
        <v>3003</v>
      </c>
      <c r="G2458" s="51" t="s">
        <v>3002</v>
      </c>
      <c r="H2458" s="51" t="s">
        <v>2965</v>
      </c>
      <c r="I2458" s="20" t="s">
        <v>2966</v>
      </c>
      <c r="J2458" s="20" t="s">
        <v>2967</v>
      </c>
      <c r="K2458" s="20" t="str">
        <f>VLOOKUP(H2458,[1]媒体表!C:T,18,0)</f>
        <v>北京多彩</v>
      </c>
      <c r="L2458" s="58" t="s">
        <v>3004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1"/>
        <v>-46.4</v>
      </c>
      <c r="W2458" s="32">
        <f t="shared" si="272"/>
        <v>0</v>
      </c>
      <c r="X2458" s="32"/>
      <c r="Y2458" s="32">
        <f t="shared" si="274"/>
        <v>0</v>
      </c>
      <c r="Z2458" s="55">
        <f t="shared" si="273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ht="14.25" spans="1:34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2965</v>
      </c>
      <c r="I2459" s="20" t="s">
        <v>2966</v>
      </c>
      <c r="J2459" s="20" t="s">
        <v>2967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</v>
      </c>
      <c r="U2459" s="59">
        <v>22520.9</v>
      </c>
      <c r="V2459" s="45">
        <f t="shared" si="271"/>
        <v>17534.32</v>
      </c>
      <c r="W2459" s="32">
        <f t="shared" si="272"/>
        <v>22520.9</v>
      </c>
      <c r="X2459" s="32">
        <f t="shared" ref="X2459:X2465" si="276">W2459*R2459</f>
        <v>675.627</v>
      </c>
      <c r="Y2459" s="32">
        <f t="shared" si="274"/>
        <v>23196.527</v>
      </c>
      <c r="Z2459" s="55">
        <f t="shared" si="273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ht="14.25" spans="1:34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2965</v>
      </c>
      <c r="I2460" s="20" t="s">
        <v>2966</v>
      </c>
      <c r="J2460" s="20" t="s">
        <v>2967</v>
      </c>
      <c r="K2460" s="20" t="str">
        <f>VLOOKUP(H2460,[1]媒体表!C:T,18,0)</f>
        <v>北京多彩</v>
      </c>
      <c r="L2460" s="58" t="s">
        <v>3005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1"/>
        <v>0</v>
      </c>
      <c r="W2460" s="32">
        <f t="shared" si="272"/>
        <v>0</v>
      </c>
      <c r="X2460" s="32">
        <f t="shared" si="276"/>
        <v>0</v>
      </c>
      <c r="Y2460" s="32">
        <f t="shared" si="274"/>
        <v>0</v>
      </c>
      <c r="Z2460" s="55">
        <f t="shared" si="273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ht="14.25" spans="1:34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2965</v>
      </c>
      <c r="I2461" s="20" t="s">
        <v>2966</v>
      </c>
      <c r="J2461" s="20" t="s">
        <v>2967</v>
      </c>
      <c r="K2461" s="20" t="str">
        <f>VLOOKUP(H2461,[1]媒体表!C:T,18,0)</f>
        <v>北京多彩</v>
      </c>
      <c r="L2461" s="58" t="s">
        <v>3006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</v>
      </c>
      <c r="T2461" s="59">
        <v>29126.22</v>
      </c>
      <c r="U2461" s="59">
        <v>26987.4</v>
      </c>
      <c r="V2461" s="45">
        <f t="shared" si="271"/>
        <v>6908.92</v>
      </c>
      <c r="W2461" s="32">
        <f t="shared" si="272"/>
        <v>26987.4</v>
      </c>
      <c r="X2461" s="32">
        <f t="shared" si="276"/>
        <v>809.622</v>
      </c>
      <c r="Y2461" s="32">
        <f t="shared" si="274"/>
        <v>27797.022</v>
      </c>
      <c r="Z2461" s="55">
        <f t="shared" si="273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ht="14.25" spans="1:34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2965</v>
      </c>
      <c r="I2462" s="20" t="s">
        <v>2966</v>
      </c>
      <c r="J2462" s="20" t="s">
        <v>2967</v>
      </c>
      <c r="K2462" s="20" t="str">
        <f>VLOOKUP(H2462,[1]媒体表!C:T,18,0)</f>
        <v>北京多彩</v>
      </c>
      <c r="L2462" s="58" t="s">
        <v>3007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1"/>
        <v>8242.8</v>
      </c>
      <c r="W2462" s="32">
        <f t="shared" si="272"/>
        <v>1303.3</v>
      </c>
      <c r="X2462" s="32">
        <f t="shared" si="276"/>
        <v>39.099</v>
      </c>
      <c r="Y2462" s="32">
        <f t="shared" si="274"/>
        <v>1342.399</v>
      </c>
      <c r="Z2462" s="55">
        <f t="shared" si="273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ht="14.25" spans="1:34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2965</v>
      </c>
      <c r="I2463" s="20" t="s">
        <v>2966</v>
      </c>
      <c r="J2463" s="20" t="s">
        <v>2967</v>
      </c>
      <c r="K2463" s="20" t="str">
        <f>VLOOKUP(H2463,[1]媒体表!C:T,18,0)</f>
        <v>北京多彩</v>
      </c>
      <c r="L2463" s="58" t="s">
        <v>3008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1"/>
        <v>0</v>
      </c>
      <c r="W2463" s="32">
        <f t="shared" si="272"/>
        <v>0</v>
      </c>
      <c r="X2463" s="32">
        <f t="shared" si="276"/>
        <v>0</v>
      </c>
      <c r="Y2463" s="32">
        <f t="shared" si="274"/>
        <v>0</v>
      </c>
      <c r="Z2463" s="55">
        <f t="shared" si="273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ht="14.25" spans="1:34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2965</v>
      </c>
      <c r="I2464" s="20" t="s">
        <v>2966</v>
      </c>
      <c r="J2464" s="20" t="s">
        <v>2967</v>
      </c>
      <c r="K2464" s="20" t="str">
        <f>VLOOKUP(H2464,[1]媒体表!C:T,18,0)</f>
        <v>北京多彩</v>
      </c>
      <c r="L2464" s="58" t="s">
        <v>3009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</v>
      </c>
      <c r="V2464" s="45">
        <f t="shared" ref="V2464:V2527" si="277">S2464+T2464-U2464</f>
        <v>25929.01</v>
      </c>
      <c r="W2464" s="32">
        <f t="shared" ref="W2464:W2527" si="278">IF(O2464="返货",U2464/(1+P2464),IF(O2464="返现",U2464,IF(O2464="折扣",U2464*P2464,IF(O2464="无",U2464))))</f>
        <v>19930.4</v>
      </c>
      <c r="X2464" s="32">
        <f t="shared" si="276"/>
        <v>597.912</v>
      </c>
      <c r="Y2464" s="32">
        <f t="shared" si="274"/>
        <v>20528.312</v>
      </c>
      <c r="Z2464" s="55">
        <f t="shared" ref="Z2464:Z2527" si="279">U2464-W2464</f>
        <v>0</v>
      </c>
      <c r="AA2464" s="59">
        <v>19930.4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ht="14.25" spans="1:34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2240</v>
      </c>
      <c r="F2465" s="51" t="s">
        <v>2240</v>
      </c>
      <c r="G2465" s="51" t="s">
        <v>2240</v>
      </c>
      <c r="H2465" s="51" t="s">
        <v>2965</v>
      </c>
      <c r="I2465" s="20" t="s">
        <v>2966</v>
      </c>
      <c r="J2465" s="20" t="s">
        <v>2967</v>
      </c>
      <c r="K2465" s="20" t="str">
        <f>VLOOKUP(H2465,[1]媒体表!C:T,18,0)</f>
        <v>北京多彩</v>
      </c>
      <c r="L2465" s="58" t="s">
        <v>2240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7"/>
        <v>314530.08</v>
      </c>
      <c r="W2465" s="32">
        <f t="shared" si="278"/>
        <v>117405.06</v>
      </c>
      <c r="X2465" s="32">
        <f t="shared" si="276"/>
        <v>3522.1518</v>
      </c>
      <c r="Y2465" s="32">
        <f t="shared" si="274"/>
        <v>120927.2118</v>
      </c>
      <c r="Z2465" s="55">
        <f t="shared" si="279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ht="14.25" spans="1:34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2965</v>
      </c>
      <c r="I2466" s="20" t="s">
        <v>2966</v>
      </c>
      <c r="J2466" s="20" t="s">
        <v>2967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7"/>
        <v>266554.99</v>
      </c>
      <c r="W2466" s="32">
        <f t="shared" si="278"/>
        <v>566027.1</v>
      </c>
      <c r="X2466" s="32"/>
      <c r="Y2466" s="32">
        <f t="shared" si="274"/>
        <v>566027.1</v>
      </c>
      <c r="Z2466" s="55">
        <f t="shared" si="279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ht="14.25" spans="1:34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2965</v>
      </c>
      <c r="I2467" s="20" t="s">
        <v>2966</v>
      </c>
      <c r="J2467" s="20" t="s">
        <v>2967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</v>
      </c>
      <c r="T2467" s="59"/>
      <c r="U2467" s="59">
        <v>58.24</v>
      </c>
      <c r="V2467" s="45">
        <f t="shared" si="277"/>
        <v>-13.9999999999948</v>
      </c>
      <c r="W2467" s="32">
        <f t="shared" si="278"/>
        <v>58.24</v>
      </c>
      <c r="X2467" s="32"/>
      <c r="Y2467" s="32">
        <f t="shared" si="274"/>
        <v>58.24</v>
      </c>
      <c r="Z2467" s="55">
        <f t="shared" si="279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ht="14.25" spans="1:34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1720</v>
      </c>
      <c r="F2468" s="51" t="s">
        <v>1721</v>
      </c>
      <c r="G2468" s="51" t="s">
        <v>1720</v>
      </c>
      <c r="H2468" s="51" t="s">
        <v>2965</v>
      </c>
      <c r="I2468" s="20" t="s">
        <v>2966</v>
      </c>
      <c r="J2468" s="20" t="s">
        <v>2967</v>
      </c>
      <c r="K2468" s="20" t="str">
        <f>VLOOKUP(H2468,[1]媒体表!C:T,18,0)</f>
        <v>北京多彩</v>
      </c>
      <c r="L2468" s="58" t="s">
        <v>1720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</v>
      </c>
      <c r="T2468" s="59"/>
      <c r="U2468" s="59">
        <v>0</v>
      </c>
      <c r="V2468" s="45">
        <f t="shared" si="277"/>
        <v>138354.2</v>
      </c>
      <c r="W2468" s="32">
        <f t="shared" si="278"/>
        <v>0</v>
      </c>
      <c r="X2468" s="32"/>
      <c r="Y2468" s="32">
        <f t="shared" si="274"/>
        <v>0</v>
      </c>
      <c r="Z2468" s="55">
        <f t="shared" si="279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ht="14.25" spans="1:34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2965</v>
      </c>
      <c r="I2469" s="20" t="s">
        <v>2966</v>
      </c>
      <c r="J2469" s="20" t="s">
        <v>2967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7"/>
        <v>0</v>
      </c>
      <c r="W2469" s="32">
        <f t="shared" si="278"/>
        <v>0</v>
      </c>
      <c r="X2469" s="32"/>
      <c r="Y2469" s="32">
        <f t="shared" si="274"/>
        <v>0</v>
      </c>
      <c r="Z2469" s="55">
        <f t="shared" si="279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ht="14.25" spans="1:34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2965</v>
      </c>
      <c r="I2470" s="20" t="s">
        <v>2966</v>
      </c>
      <c r="J2470" s="20" t="s">
        <v>2967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7"/>
        <v>19140.7</v>
      </c>
      <c r="W2470" s="32">
        <f t="shared" si="278"/>
        <v>36729.61</v>
      </c>
      <c r="X2470" s="32"/>
      <c r="Y2470" s="32">
        <f t="shared" si="274"/>
        <v>36729.61</v>
      </c>
      <c r="Z2470" s="55">
        <f t="shared" si="279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ht="14.25" spans="1:34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2280</v>
      </c>
      <c r="F2471" s="51" t="s">
        <v>2280</v>
      </c>
      <c r="G2471" s="51" t="s">
        <v>2280</v>
      </c>
      <c r="H2471" s="51" t="s">
        <v>2965</v>
      </c>
      <c r="I2471" s="20" t="s">
        <v>2966</v>
      </c>
      <c r="J2471" s="20" t="s">
        <v>2967</v>
      </c>
      <c r="K2471" s="20" t="str">
        <f>VLOOKUP(H2471,[1]媒体表!C:T,18,0)</f>
        <v>北京多彩</v>
      </c>
      <c r="L2471" s="58" t="s">
        <v>2280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905.440000000001</v>
      </c>
      <c r="T2471" s="59"/>
      <c r="U2471" s="59">
        <v>793.33</v>
      </c>
      <c r="V2471" s="45">
        <f t="shared" si="277"/>
        <v>112.110000000001</v>
      </c>
      <c r="W2471" s="32">
        <f t="shared" si="278"/>
        <v>793.33</v>
      </c>
      <c r="X2471" s="32">
        <f>W2471*R2471</f>
        <v>23.7999</v>
      </c>
      <c r="Y2471" s="32">
        <f t="shared" si="274"/>
        <v>817.1299</v>
      </c>
      <c r="Z2471" s="55">
        <f t="shared" si="279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ht="14.25" spans="1:34">
      <c r="A2472" s="19">
        <v>43831</v>
      </c>
      <c r="B2472" s="51" t="s">
        <v>34</v>
      </c>
      <c r="C2472" s="51" t="s">
        <v>650</v>
      </c>
      <c r="D2472" s="51" t="s">
        <v>3010</v>
      </c>
      <c r="E2472" s="51" t="s">
        <v>2290</v>
      </c>
      <c r="F2472" s="51" t="s">
        <v>2290</v>
      </c>
      <c r="G2472" s="51" t="s">
        <v>2290</v>
      </c>
      <c r="H2472" s="51" t="s">
        <v>2965</v>
      </c>
      <c r="I2472" s="20" t="s">
        <v>2966</v>
      </c>
      <c r="J2472" s="20" t="s">
        <v>2967</v>
      </c>
      <c r="K2472" s="20" t="str">
        <f>VLOOKUP(H2472,[1]媒体表!C:T,18,0)</f>
        <v>北京多彩</v>
      </c>
      <c r="L2472" s="58" t="s">
        <v>2290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7"/>
        <v>7660.8</v>
      </c>
      <c r="W2472" s="32">
        <f t="shared" si="278"/>
        <v>0</v>
      </c>
      <c r="X2472" s="32"/>
      <c r="Y2472" s="32">
        <f t="shared" si="274"/>
        <v>0</v>
      </c>
      <c r="Z2472" s="55">
        <f t="shared" si="279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ht="14.25" spans="1:34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2290</v>
      </c>
      <c r="F2473" s="51" t="s">
        <v>2290</v>
      </c>
      <c r="G2473" s="51" t="s">
        <v>2290</v>
      </c>
      <c r="H2473" s="51" t="s">
        <v>2965</v>
      </c>
      <c r="I2473" s="20" t="s">
        <v>2966</v>
      </c>
      <c r="J2473" s="20" t="s">
        <v>2967</v>
      </c>
      <c r="K2473" s="20" t="str">
        <f>VLOOKUP(H2473,[1]媒体表!C:T,18,0)</f>
        <v>北京多彩</v>
      </c>
      <c r="L2473" s="58" t="s">
        <v>3011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7"/>
        <v>1050.71</v>
      </c>
      <c r="W2473" s="32">
        <f t="shared" si="278"/>
        <v>2984.75</v>
      </c>
      <c r="X2473" s="32"/>
      <c r="Y2473" s="32">
        <f t="shared" si="274"/>
        <v>2984.75</v>
      </c>
      <c r="Z2473" s="55">
        <f t="shared" si="279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ht="14.25" spans="1:34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1733</v>
      </c>
      <c r="F2474" s="51" t="s">
        <v>1733</v>
      </c>
      <c r="G2474" s="51" t="s">
        <v>1733</v>
      </c>
      <c r="H2474" s="51" t="s">
        <v>2965</v>
      </c>
      <c r="I2474" s="20" t="s">
        <v>2966</v>
      </c>
      <c r="J2474" s="20" t="s">
        <v>2967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7"/>
        <v>187602.12</v>
      </c>
      <c r="W2474" s="32">
        <f t="shared" si="278"/>
        <v>942397.88</v>
      </c>
      <c r="X2474" s="32"/>
      <c r="Y2474" s="32">
        <f t="shared" si="274"/>
        <v>942397.88</v>
      </c>
      <c r="Z2474" s="55">
        <f t="shared" si="279"/>
        <v>0</v>
      </c>
      <c r="AA2474" s="59">
        <v>1170017.34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ht="14.25" spans="1:34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2965</v>
      </c>
      <c r="I2475" s="20" t="s">
        <v>2966</v>
      </c>
      <c r="J2475" s="20" t="s">
        <v>2967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7"/>
        <v>0</v>
      </c>
      <c r="W2475" s="32">
        <f t="shared" si="278"/>
        <v>227619.46</v>
      </c>
      <c r="X2475" s="32"/>
      <c r="Y2475" s="32">
        <f t="shared" si="274"/>
        <v>227619.46</v>
      </c>
      <c r="Z2475" s="55">
        <f t="shared" si="279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ht="14.25" spans="1:34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3012</v>
      </c>
      <c r="F2476" s="51" t="s">
        <v>3012</v>
      </c>
      <c r="G2476" s="51" t="s">
        <v>3012</v>
      </c>
      <c r="H2476" s="51" t="s">
        <v>2965</v>
      </c>
      <c r="I2476" s="20" t="s">
        <v>2966</v>
      </c>
      <c r="J2476" s="20" t="s">
        <v>2967</v>
      </c>
      <c r="K2476" s="20" t="str">
        <f>VLOOKUP(H2476,[1]媒体表!C:T,18,0)</f>
        <v>北京多彩</v>
      </c>
      <c r="L2476" s="58" t="s">
        <v>3012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7"/>
        <v>5868.93</v>
      </c>
      <c r="W2476" s="32">
        <f t="shared" si="278"/>
        <v>2075.5</v>
      </c>
      <c r="X2476" s="32"/>
      <c r="Y2476" s="32">
        <f t="shared" si="274"/>
        <v>2075.5</v>
      </c>
      <c r="Z2476" s="55">
        <f t="shared" si="279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ht="14.25" spans="1:34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3013</v>
      </c>
      <c r="F2477" s="51" t="s">
        <v>3013</v>
      </c>
      <c r="G2477" s="51" t="s">
        <v>3013</v>
      </c>
      <c r="H2477" s="51" t="s">
        <v>2965</v>
      </c>
      <c r="I2477" s="20" t="s">
        <v>2966</v>
      </c>
      <c r="J2477" s="20" t="s">
        <v>2967</v>
      </c>
      <c r="K2477" s="20" t="str">
        <f>VLOOKUP(H2477,[1]媒体表!C:T,18,0)</f>
        <v>北京多彩</v>
      </c>
      <c r="L2477" s="58" t="s">
        <v>3013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7"/>
        <v>126473.12</v>
      </c>
      <c r="W2477" s="32">
        <f t="shared" si="278"/>
        <v>0</v>
      </c>
      <c r="X2477" s="32"/>
      <c r="Y2477" s="32">
        <f t="shared" si="274"/>
        <v>0</v>
      </c>
      <c r="Z2477" s="55">
        <f t="shared" si="279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ht="14.25" spans="1:34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3014</v>
      </c>
      <c r="F2478" s="51" t="s">
        <v>1754</v>
      </c>
      <c r="G2478" s="51" t="s">
        <v>1754</v>
      </c>
      <c r="H2478" s="51" t="s">
        <v>2965</v>
      </c>
      <c r="I2478" s="20" t="s">
        <v>2966</v>
      </c>
      <c r="J2478" s="20" t="s">
        <v>2967</v>
      </c>
      <c r="K2478" s="20" t="str">
        <f>VLOOKUP(H2478,[1]媒体表!C:T,18,0)</f>
        <v>北京多彩</v>
      </c>
      <c r="L2478" s="58" t="s">
        <v>3015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7"/>
        <v>61.2</v>
      </c>
      <c r="W2478" s="32">
        <f t="shared" si="278"/>
        <v>0</v>
      </c>
      <c r="X2478" s="32"/>
      <c r="Y2478" s="32">
        <f t="shared" si="274"/>
        <v>0</v>
      </c>
      <c r="Z2478" s="55">
        <f t="shared" si="279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ht="14.25" spans="1:34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3016</v>
      </c>
      <c r="F2479" s="51" t="s">
        <v>3016</v>
      </c>
      <c r="G2479" s="51" t="s">
        <v>3016</v>
      </c>
      <c r="H2479" s="51" t="s">
        <v>2965</v>
      </c>
      <c r="I2479" s="20" t="s">
        <v>2966</v>
      </c>
      <c r="J2479" s="20" t="s">
        <v>2967</v>
      </c>
      <c r="K2479" s="20" t="str">
        <f>VLOOKUP(H2479,[1]媒体表!C:T,18,0)</f>
        <v>北京多彩</v>
      </c>
      <c r="L2479" s="58" t="s">
        <v>3016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7"/>
        <v>996</v>
      </c>
      <c r="W2479" s="32">
        <f t="shared" si="278"/>
        <v>0</v>
      </c>
      <c r="X2479" s="32"/>
      <c r="Y2479" s="32">
        <f t="shared" si="274"/>
        <v>0</v>
      </c>
      <c r="Z2479" s="55">
        <f t="shared" si="279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ht="14.25" spans="1:34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2965</v>
      </c>
      <c r="I2480" s="20" t="s">
        <v>2966</v>
      </c>
      <c r="J2480" s="20" t="s">
        <v>2967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7"/>
        <v>68825.88</v>
      </c>
      <c r="W2480" s="32">
        <f t="shared" si="278"/>
        <v>311850.45</v>
      </c>
      <c r="X2480" s="32"/>
      <c r="Y2480" s="32">
        <f t="shared" si="274"/>
        <v>311850.45</v>
      </c>
      <c r="Z2480" s="55">
        <f t="shared" si="279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ht="14.25" spans="1:34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3017</v>
      </c>
      <c r="F2481" s="51" t="s">
        <v>3018</v>
      </c>
      <c r="G2481" s="51" t="s">
        <v>3017</v>
      </c>
      <c r="H2481" s="51" t="s">
        <v>2965</v>
      </c>
      <c r="I2481" s="20" t="s">
        <v>2966</v>
      </c>
      <c r="J2481" s="20" t="s">
        <v>2967</v>
      </c>
      <c r="K2481" s="20" t="str">
        <f>VLOOKUP(H2481,[1]媒体表!C:T,18,0)</f>
        <v>北京多彩</v>
      </c>
      <c r="L2481" s="58" t="s">
        <v>2325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7"/>
        <v>0</v>
      </c>
      <c r="W2481" s="32">
        <f t="shared" si="278"/>
        <v>2715000</v>
      </c>
      <c r="X2481" s="32"/>
      <c r="Y2481" s="32">
        <f t="shared" si="274"/>
        <v>2715000</v>
      </c>
      <c r="Z2481" s="55">
        <f t="shared" si="279"/>
        <v>0</v>
      </c>
      <c r="AA2481" s="59">
        <v>7309028.4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ht="14.25" spans="1:34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1756</v>
      </c>
      <c r="G2482" s="51" t="s">
        <v>810</v>
      </c>
      <c r="H2482" s="51" t="s">
        <v>2965</v>
      </c>
      <c r="I2482" s="20" t="s">
        <v>2966</v>
      </c>
      <c r="J2482" s="20" t="s">
        <v>2967</v>
      </c>
      <c r="K2482" s="20" t="str">
        <f>VLOOKUP(H2482,[1]媒体表!C:T,18,0)</f>
        <v>北京多彩</v>
      </c>
      <c r="L2482" s="58" t="s">
        <v>2325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7"/>
        <v>4169295.99</v>
      </c>
      <c r="W2482" s="32">
        <f t="shared" si="278"/>
        <v>450704.01</v>
      </c>
      <c r="X2482" s="32"/>
      <c r="Y2482" s="32">
        <f t="shared" si="274"/>
        <v>450704.01</v>
      </c>
      <c r="Z2482" s="55">
        <f t="shared" si="279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ht="14.25" spans="1:34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2965</v>
      </c>
      <c r="I2483" s="20" t="s">
        <v>2966</v>
      </c>
      <c r="J2483" s="20" t="s">
        <v>2967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7"/>
        <v>1552071.53</v>
      </c>
      <c r="W2483" s="32">
        <f t="shared" si="278"/>
        <v>221327.26</v>
      </c>
      <c r="X2483" s="32"/>
      <c r="Y2483" s="32">
        <f t="shared" si="274"/>
        <v>221327.26</v>
      </c>
      <c r="Z2483" s="55">
        <f t="shared" si="279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ht="14.25" spans="1:34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3019</v>
      </c>
      <c r="F2484" s="51" t="s">
        <v>3019</v>
      </c>
      <c r="G2484" s="51" t="s">
        <v>3019</v>
      </c>
      <c r="H2484" s="51" t="s">
        <v>2965</v>
      </c>
      <c r="I2484" s="20" t="s">
        <v>2966</v>
      </c>
      <c r="J2484" s="20" t="s">
        <v>2967</v>
      </c>
      <c r="K2484" s="20" t="str">
        <f>VLOOKUP(H2484,[1]媒体表!C:T,18,0)</f>
        <v>北京多彩</v>
      </c>
      <c r="L2484" s="58" t="s">
        <v>2325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7"/>
        <v>0</v>
      </c>
      <c r="W2484" s="32">
        <f t="shared" si="278"/>
        <v>285000</v>
      </c>
      <c r="X2484" s="32"/>
      <c r="Y2484" s="32">
        <f t="shared" si="274"/>
        <v>285000</v>
      </c>
      <c r="Z2484" s="55">
        <f t="shared" si="279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ht="42.75" spans="1:34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3020</v>
      </c>
      <c r="F2485" s="51" t="s">
        <v>3021</v>
      </c>
      <c r="G2485" s="60" t="s">
        <v>3021</v>
      </c>
      <c r="H2485" s="51" t="s">
        <v>2965</v>
      </c>
      <c r="I2485" s="20" t="s">
        <v>2966</v>
      </c>
      <c r="J2485" s="20" t="s">
        <v>2967</v>
      </c>
      <c r="K2485" s="20" t="str">
        <f>VLOOKUP(H2485,[1]媒体表!C:T,18,0)</f>
        <v>北京多彩</v>
      </c>
      <c r="L2485" s="58" t="s">
        <v>3022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7"/>
        <v>92388.24</v>
      </c>
      <c r="W2485" s="32">
        <f t="shared" si="278"/>
        <v>0</v>
      </c>
      <c r="X2485" s="32"/>
      <c r="Y2485" s="32">
        <f t="shared" si="274"/>
        <v>0</v>
      </c>
      <c r="Z2485" s="55">
        <f t="shared" si="279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ht="14.25" spans="1:34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3023</v>
      </c>
      <c r="F2486" s="51" t="s">
        <v>874</v>
      </c>
      <c r="G2486" s="51" t="s">
        <v>874</v>
      </c>
      <c r="H2486" s="51" t="s">
        <v>2965</v>
      </c>
      <c r="I2486" s="20" t="s">
        <v>2966</v>
      </c>
      <c r="J2486" s="20" t="s">
        <v>2967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7"/>
        <v>7124.8</v>
      </c>
      <c r="W2486" s="32">
        <f t="shared" si="278"/>
        <v>0</v>
      </c>
      <c r="X2486" s="32"/>
      <c r="Y2486" s="32">
        <f t="shared" si="274"/>
        <v>0</v>
      </c>
      <c r="Z2486" s="55">
        <f t="shared" si="279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ht="14.25" spans="1:34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2965</v>
      </c>
      <c r="I2487" s="20" t="s">
        <v>2966</v>
      </c>
      <c r="J2487" s="20" t="s">
        <v>2967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</v>
      </c>
      <c r="V2487" s="45">
        <f t="shared" si="277"/>
        <v>4593.6</v>
      </c>
      <c r="W2487" s="32">
        <f t="shared" si="278"/>
        <v>25406.4</v>
      </c>
      <c r="X2487" s="32"/>
      <c r="Y2487" s="32">
        <f t="shared" si="274"/>
        <v>25406.4</v>
      </c>
      <c r="Z2487" s="55">
        <f t="shared" si="279"/>
        <v>0</v>
      </c>
      <c r="AA2487" s="59">
        <v>25406.4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ht="14.25" spans="1:34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2355</v>
      </c>
      <c r="F2488" s="51" t="s">
        <v>2355</v>
      </c>
      <c r="G2488" s="51" t="s">
        <v>2355</v>
      </c>
      <c r="H2488" s="51" t="s">
        <v>2965</v>
      </c>
      <c r="I2488" s="20" t="s">
        <v>2966</v>
      </c>
      <c r="J2488" s="20" t="s">
        <v>2967</v>
      </c>
      <c r="K2488" s="20" t="str">
        <f>VLOOKUP(H2488,[1]媒体表!C:T,18,0)</f>
        <v>北京多彩</v>
      </c>
      <c r="L2488" s="58" t="s">
        <v>2356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7"/>
        <v>184.299999999999</v>
      </c>
      <c r="W2488" s="32">
        <f t="shared" si="278"/>
        <v>5599.1</v>
      </c>
      <c r="X2488" s="32"/>
      <c r="Y2488" s="32">
        <f t="shared" ref="Y2488:Y2505" si="280">W2488+X2488</f>
        <v>5599.1</v>
      </c>
      <c r="Z2488" s="55">
        <f t="shared" si="279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ht="14.25" spans="1:34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2965</v>
      </c>
      <c r="I2489" s="20" t="s">
        <v>2966</v>
      </c>
      <c r="J2489" s="20" t="s">
        <v>2967</v>
      </c>
      <c r="K2489" s="20" t="str">
        <f>VLOOKUP(H2489,[1]媒体表!C:T,18,0)</f>
        <v>北京多彩</v>
      </c>
      <c r="L2489" s="58" t="s">
        <v>3024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7"/>
        <v>21.8400000000001</v>
      </c>
      <c r="W2489" s="32">
        <f t="shared" si="278"/>
        <v>11839.16</v>
      </c>
      <c r="X2489" s="32"/>
      <c r="Y2489" s="32">
        <f t="shared" si="280"/>
        <v>11839.16</v>
      </c>
      <c r="Z2489" s="55">
        <f t="shared" si="279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ht="14.25" spans="1:34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2965</v>
      </c>
      <c r="I2490" s="20" t="s">
        <v>2966</v>
      </c>
      <c r="J2490" s="20" t="s">
        <v>2967</v>
      </c>
      <c r="K2490" s="20" t="str">
        <f>VLOOKUP(H2490,[1]媒体表!C:T,18,0)</f>
        <v>北京多彩</v>
      </c>
      <c r="L2490" s="58" t="s">
        <v>3025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-18.2199999999993</v>
      </c>
      <c r="T2490" s="59"/>
      <c r="U2490" s="59">
        <v>0</v>
      </c>
      <c r="V2490" s="45">
        <f t="shared" si="277"/>
        <v>-18.2199999999993</v>
      </c>
      <c r="W2490" s="32">
        <f t="shared" si="278"/>
        <v>0</v>
      </c>
      <c r="X2490" s="32"/>
      <c r="Y2490" s="32">
        <f t="shared" si="280"/>
        <v>0</v>
      </c>
      <c r="Z2490" s="55">
        <f t="shared" si="279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ht="14.25" spans="1:34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3026</v>
      </c>
      <c r="G2491" s="51" t="s">
        <v>901</v>
      </c>
      <c r="H2491" s="51" t="s">
        <v>2965</v>
      </c>
      <c r="I2491" s="20" t="s">
        <v>2966</v>
      </c>
      <c r="J2491" s="20" t="s">
        <v>2967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7"/>
        <v>-11.5199999998986</v>
      </c>
      <c r="W2491" s="32">
        <f t="shared" si="278"/>
        <v>0</v>
      </c>
      <c r="X2491" s="32"/>
      <c r="Y2491" s="32">
        <f t="shared" si="280"/>
        <v>0</v>
      </c>
      <c r="Z2491" s="55">
        <f t="shared" si="279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ht="14.25" spans="1:34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2965</v>
      </c>
      <c r="I2492" s="20" t="s">
        <v>2966</v>
      </c>
      <c r="J2492" s="20" t="s">
        <v>2967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7"/>
        <v>-102.17</v>
      </c>
      <c r="W2492" s="32">
        <f t="shared" si="278"/>
        <v>0</v>
      </c>
      <c r="X2492" s="32"/>
      <c r="Y2492" s="32">
        <f t="shared" si="280"/>
        <v>0</v>
      </c>
      <c r="Z2492" s="55">
        <f t="shared" si="279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ht="14.25" spans="1:34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3027</v>
      </c>
      <c r="F2493" s="51" t="s">
        <v>3027</v>
      </c>
      <c r="G2493" s="51" t="s">
        <v>3027</v>
      </c>
      <c r="H2493" s="51" t="s">
        <v>2965</v>
      </c>
      <c r="I2493" s="20" t="s">
        <v>2966</v>
      </c>
      <c r="J2493" s="20" t="s">
        <v>2967</v>
      </c>
      <c r="K2493" s="20" t="str">
        <f>VLOOKUP(H2493,[1]媒体表!C:T,18,0)</f>
        <v>北京多彩</v>
      </c>
      <c r="L2493" s="58" t="s">
        <v>3028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7"/>
        <v>19624.8</v>
      </c>
      <c r="W2493" s="32">
        <f t="shared" si="278"/>
        <v>0</v>
      </c>
      <c r="X2493" s="32"/>
      <c r="Y2493" s="32">
        <f t="shared" si="280"/>
        <v>0</v>
      </c>
      <c r="Z2493" s="55">
        <f t="shared" si="279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ht="14.25" spans="1:34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3029</v>
      </c>
      <c r="F2494" s="51" t="s">
        <v>3029</v>
      </c>
      <c r="G2494" s="51" t="s">
        <v>3029</v>
      </c>
      <c r="H2494" s="51" t="s">
        <v>2965</v>
      </c>
      <c r="I2494" s="20" t="s">
        <v>2966</v>
      </c>
      <c r="J2494" s="20" t="s">
        <v>2967</v>
      </c>
      <c r="K2494" s="20" t="str">
        <f>VLOOKUP(H2494,[1]媒体表!C:T,18,0)</f>
        <v>北京多彩</v>
      </c>
      <c r="L2494" s="58" t="s">
        <v>3029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</v>
      </c>
      <c r="V2494" s="45">
        <f t="shared" si="277"/>
        <v>-11.9000000000015</v>
      </c>
      <c r="W2494" s="32">
        <f t="shared" si="278"/>
        <v>44902.4</v>
      </c>
      <c r="X2494" s="32"/>
      <c r="Y2494" s="32">
        <f t="shared" si="280"/>
        <v>44902.4</v>
      </c>
      <c r="Z2494" s="55">
        <f t="shared" si="279"/>
        <v>0</v>
      </c>
      <c r="AA2494" s="59">
        <v>44902.4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ht="14.25" spans="1:34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2965</v>
      </c>
      <c r="I2495" s="20" t="s">
        <v>2966</v>
      </c>
      <c r="J2495" s="20" t="s">
        <v>2967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7"/>
        <v>0</v>
      </c>
      <c r="W2495" s="32">
        <f t="shared" si="278"/>
        <v>29954.7</v>
      </c>
      <c r="X2495" s="32"/>
      <c r="Y2495" s="32">
        <f t="shared" si="280"/>
        <v>29954.7</v>
      </c>
      <c r="Z2495" s="55">
        <f t="shared" si="279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ht="14.25" spans="1:34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2965</v>
      </c>
      <c r="I2496" s="20" t="s">
        <v>2966</v>
      </c>
      <c r="J2496" s="20" t="s">
        <v>2967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7"/>
        <v>348854</v>
      </c>
      <c r="W2496" s="32">
        <f t="shared" si="278"/>
        <v>192</v>
      </c>
      <c r="X2496" s="32"/>
      <c r="Y2496" s="32">
        <f t="shared" si="280"/>
        <v>192</v>
      </c>
      <c r="Z2496" s="55">
        <f t="shared" si="279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ht="14.25" spans="1:34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3030</v>
      </c>
      <c r="F2497" s="51" t="s">
        <v>3030</v>
      </c>
      <c r="G2497" s="51" t="s">
        <v>3030</v>
      </c>
      <c r="H2497" s="51" t="s">
        <v>2965</v>
      </c>
      <c r="I2497" s="20" t="s">
        <v>2966</v>
      </c>
      <c r="J2497" s="20" t="s">
        <v>2967</v>
      </c>
      <c r="K2497" s="20" t="str">
        <f>VLOOKUP(H2497,[1]媒体表!C:T,18,0)</f>
        <v>北京多彩</v>
      </c>
      <c r="L2497" s="58" t="s">
        <v>3030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7"/>
        <v>0</v>
      </c>
      <c r="W2497" s="32">
        <f t="shared" si="278"/>
        <v>9081.34</v>
      </c>
      <c r="X2497" s="32"/>
      <c r="Y2497" s="32">
        <f t="shared" si="280"/>
        <v>9081.34</v>
      </c>
      <c r="Z2497" s="55">
        <f t="shared" si="279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ht="14.25" spans="1:34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2965</v>
      </c>
      <c r="I2498" s="20" t="s">
        <v>2966</v>
      </c>
      <c r="J2498" s="20" t="s">
        <v>2967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7"/>
        <v>1633.6</v>
      </c>
      <c r="W2498" s="32">
        <f t="shared" si="278"/>
        <v>0</v>
      </c>
      <c r="X2498" s="32"/>
      <c r="Y2498" s="32">
        <f t="shared" si="280"/>
        <v>0</v>
      </c>
      <c r="Z2498" s="55">
        <f t="shared" si="279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ht="14.25" spans="1:34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3031</v>
      </c>
      <c r="F2499" s="51" t="s">
        <v>3032</v>
      </c>
      <c r="G2499" s="51" t="s">
        <v>3031</v>
      </c>
      <c r="H2499" s="51" t="s">
        <v>2965</v>
      </c>
      <c r="I2499" s="20" t="s">
        <v>2966</v>
      </c>
      <c r="J2499" s="20" t="s">
        <v>2967</v>
      </c>
      <c r="K2499" s="20" t="str">
        <f>VLOOKUP(H2499,[1]媒体表!C:T,18,0)</f>
        <v>北京多彩</v>
      </c>
      <c r="L2499" s="58" t="s">
        <v>3031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7"/>
        <v>10693.3</v>
      </c>
      <c r="W2499" s="32">
        <f t="shared" si="278"/>
        <v>22286</v>
      </c>
      <c r="X2499" s="32">
        <f>W2499*R2499/(1-R2499)</f>
        <v>1172.94736842105</v>
      </c>
      <c r="Y2499" s="32">
        <f t="shared" si="280"/>
        <v>23458.9473684211</v>
      </c>
      <c r="Z2499" s="55">
        <f t="shared" si="279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ht="14.25" spans="1:34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3033</v>
      </c>
      <c r="F2500" s="51" t="s">
        <v>3033</v>
      </c>
      <c r="G2500" s="51" t="s">
        <v>3033</v>
      </c>
      <c r="H2500" s="51" t="s">
        <v>2965</v>
      </c>
      <c r="I2500" s="20" t="s">
        <v>2966</v>
      </c>
      <c r="J2500" s="20" t="s">
        <v>2967</v>
      </c>
      <c r="K2500" s="20" t="str">
        <f>VLOOKUP(H2500,[1]媒体表!C:T,18,0)</f>
        <v>北京多彩</v>
      </c>
      <c r="L2500" s="58" t="s">
        <v>3033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7"/>
        <v>2639.8</v>
      </c>
      <c r="W2500" s="32">
        <f t="shared" si="278"/>
        <v>0</v>
      </c>
      <c r="X2500" s="32"/>
      <c r="Y2500" s="32">
        <f t="shared" si="280"/>
        <v>0</v>
      </c>
      <c r="Z2500" s="55">
        <f t="shared" si="279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ht="14.25" spans="1:34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2494</v>
      </c>
      <c r="G2501" s="51" t="s">
        <v>216</v>
      </c>
      <c r="H2501" s="51" t="s">
        <v>2965</v>
      </c>
      <c r="I2501" s="20" t="s">
        <v>2966</v>
      </c>
      <c r="J2501" s="20" t="s">
        <v>2967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7"/>
        <v>0</v>
      </c>
      <c r="W2501" s="32">
        <f t="shared" si="278"/>
        <v>14741.6</v>
      </c>
      <c r="X2501" s="32"/>
      <c r="Y2501" s="32">
        <f t="shared" si="280"/>
        <v>14741.6</v>
      </c>
      <c r="Z2501" s="55">
        <f t="shared" si="279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ht="14.25" spans="1:34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3034</v>
      </c>
      <c r="F2502" s="51" t="s">
        <v>3034</v>
      </c>
      <c r="G2502" s="51" t="s">
        <v>3034</v>
      </c>
      <c r="H2502" s="51" t="s">
        <v>2965</v>
      </c>
      <c r="I2502" s="20" t="s">
        <v>2966</v>
      </c>
      <c r="J2502" s="20" t="s">
        <v>2967</v>
      </c>
      <c r="K2502" s="20" t="str">
        <f>VLOOKUP(H2502,[1]媒体表!C:T,18,0)</f>
        <v>北京多彩</v>
      </c>
      <c r="L2502" s="58" t="s">
        <v>3034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7"/>
        <v>73.6900000000023</v>
      </c>
      <c r="W2502" s="32">
        <f t="shared" si="278"/>
        <v>64554.04</v>
      </c>
      <c r="X2502" s="32"/>
      <c r="Y2502" s="32">
        <f t="shared" si="280"/>
        <v>64554.04</v>
      </c>
      <c r="Z2502" s="55">
        <f t="shared" si="279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ht="14.25" spans="1:34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2965</v>
      </c>
      <c r="I2503" s="20" t="s">
        <v>2966</v>
      </c>
      <c r="J2503" s="20" t="s">
        <v>2967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7"/>
        <v>0</v>
      </c>
      <c r="W2503" s="32">
        <f t="shared" si="278"/>
        <v>90.5</v>
      </c>
      <c r="X2503" s="32"/>
      <c r="Y2503" s="32">
        <f t="shared" si="280"/>
        <v>90.5</v>
      </c>
      <c r="Z2503" s="55">
        <f t="shared" si="279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ht="14.25" spans="1:34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3035</v>
      </c>
      <c r="F2504" s="51" t="s">
        <v>3035</v>
      </c>
      <c r="G2504" s="51" t="s">
        <v>3035</v>
      </c>
      <c r="H2504" s="51" t="s">
        <v>2965</v>
      </c>
      <c r="I2504" s="20" t="s">
        <v>2966</v>
      </c>
      <c r="J2504" s="20" t="s">
        <v>2967</v>
      </c>
      <c r="K2504" s="20" t="str">
        <f>VLOOKUP(H2504,[1]媒体表!C:T,18,0)</f>
        <v>北京多彩</v>
      </c>
      <c r="L2504" s="58" t="s">
        <v>3035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7"/>
        <v>0</v>
      </c>
      <c r="W2504" s="32">
        <f t="shared" si="278"/>
        <v>0</v>
      </c>
      <c r="X2504" s="32"/>
      <c r="Y2504" s="32">
        <f t="shared" si="280"/>
        <v>0</v>
      </c>
      <c r="Z2504" s="55">
        <f t="shared" si="279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ht="14.25" spans="1:34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2529</v>
      </c>
      <c r="F2505" s="51" t="s">
        <v>2529</v>
      </c>
      <c r="G2505" s="51" t="s">
        <v>2529</v>
      </c>
      <c r="H2505" s="51" t="s">
        <v>2965</v>
      </c>
      <c r="I2505" s="20" t="s">
        <v>2966</v>
      </c>
      <c r="J2505" s="20" t="s">
        <v>2967</v>
      </c>
      <c r="K2505" s="20" t="str">
        <f>VLOOKUP(H2505,[1]媒体表!C:T,18,0)</f>
        <v>北京多彩</v>
      </c>
      <c r="L2505" s="58" t="s">
        <v>2529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</v>
      </c>
      <c r="T2505" s="59"/>
      <c r="U2505" s="59">
        <v>3192.64</v>
      </c>
      <c r="V2505" s="45">
        <f t="shared" si="277"/>
        <v>7095.31</v>
      </c>
      <c r="W2505" s="32">
        <f t="shared" si="278"/>
        <v>3192.64</v>
      </c>
      <c r="X2505" s="32">
        <f>W2505*R2505</f>
        <v>95.7792</v>
      </c>
      <c r="Y2505" s="32">
        <f t="shared" si="280"/>
        <v>3288.4192</v>
      </c>
      <c r="Z2505" s="55">
        <f t="shared" si="279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ht="14.25" spans="1:34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2532</v>
      </c>
      <c r="F2506" s="51" t="s">
        <v>2532</v>
      </c>
      <c r="G2506" s="51" t="s">
        <v>2532</v>
      </c>
      <c r="H2506" s="51" t="s">
        <v>2965</v>
      </c>
      <c r="I2506" s="20" t="s">
        <v>2966</v>
      </c>
      <c r="J2506" s="20" t="s">
        <v>2967</v>
      </c>
      <c r="K2506" s="20" t="str">
        <f>VLOOKUP(H2506,[1]媒体表!C:T,18,0)</f>
        <v>北京多彩</v>
      </c>
      <c r="L2506" s="58" t="s">
        <v>2532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7"/>
        <v>60.07</v>
      </c>
      <c r="W2506" s="32">
        <f t="shared" si="278"/>
        <v>68</v>
      </c>
      <c r="X2506" s="32"/>
      <c r="Y2506" s="32"/>
      <c r="Z2506" s="55">
        <f t="shared" si="279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ht="14.25" spans="1:34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2537</v>
      </c>
      <c r="F2507" s="51" t="s">
        <v>2538</v>
      </c>
      <c r="G2507" s="51" t="s">
        <v>2537</v>
      </c>
      <c r="H2507" s="51" t="s">
        <v>2965</v>
      </c>
      <c r="I2507" s="20" t="s">
        <v>2966</v>
      </c>
      <c r="J2507" s="20" t="s">
        <v>2967</v>
      </c>
      <c r="K2507" s="20" t="str">
        <f>VLOOKUP(H2507,[1]媒体表!C:T,18,0)</f>
        <v>北京多彩</v>
      </c>
      <c r="L2507" s="58" t="s">
        <v>2537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7"/>
        <v>0</v>
      </c>
      <c r="W2507" s="32">
        <f t="shared" si="278"/>
        <v>35347</v>
      </c>
      <c r="X2507" s="32"/>
      <c r="Y2507" s="32">
        <f t="shared" ref="Y2507:Y2540" si="281">W2507+X2507</f>
        <v>35347</v>
      </c>
      <c r="Z2507" s="55">
        <f t="shared" si="279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ht="14.25" spans="1:34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2537</v>
      </c>
      <c r="F2508" s="51" t="s">
        <v>2538</v>
      </c>
      <c r="G2508" s="51" t="s">
        <v>2537</v>
      </c>
      <c r="H2508" s="51" t="s">
        <v>2965</v>
      </c>
      <c r="I2508" s="20" t="s">
        <v>2966</v>
      </c>
      <c r="J2508" s="20" t="s">
        <v>2967</v>
      </c>
      <c r="K2508" s="20" t="str">
        <f>VLOOKUP(H2508,[1]媒体表!C:T,18,0)</f>
        <v>北京多彩</v>
      </c>
      <c r="L2508" s="58" t="s">
        <v>2540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7"/>
        <v>0</v>
      </c>
      <c r="W2508" s="32">
        <f t="shared" si="278"/>
        <v>18934.2</v>
      </c>
      <c r="X2508" s="32"/>
      <c r="Y2508" s="32">
        <f t="shared" si="281"/>
        <v>18934.2</v>
      </c>
      <c r="Z2508" s="55">
        <f t="shared" si="279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ht="14.25" spans="1:34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2545</v>
      </c>
      <c r="F2509" s="51" t="s">
        <v>2545</v>
      </c>
      <c r="G2509" s="51" t="s">
        <v>2545</v>
      </c>
      <c r="H2509" s="51" t="s">
        <v>2965</v>
      </c>
      <c r="I2509" s="20" t="s">
        <v>2966</v>
      </c>
      <c r="J2509" s="20" t="s">
        <v>2967</v>
      </c>
      <c r="K2509" s="20" t="str">
        <f>VLOOKUP(H2509,[1]媒体表!C:T,18,0)</f>
        <v>北京多彩</v>
      </c>
      <c r="L2509" s="58" t="s">
        <v>2545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7"/>
        <v>136.5</v>
      </c>
      <c r="W2509" s="32">
        <f t="shared" si="278"/>
        <v>0</v>
      </c>
      <c r="X2509" s="32"/>
      <c r="Y2509" s="32">
        <f t="shared" si="281"/>
        <v>0</v>
      </c>
      <c r="Z2509" s="55">
        <f t="shared" si="279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ht="14.25" spans="1:34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2553</v>
      </c>
      <c r="F2510" s="51" t="s">
        <v>2553</v>
      </c>
      <c r="G2510" s="51" t="s">
        <v>2553</v>
      </c>
      <c r="H2510" s="51" t="s">
        <v>2965</v>
      </c>
      <c r="I2510" s="20" t="s">
        <v>2966</v>
      </c>
      <c r="J2510" s="20" t="s">
        <v>2967</v>
      </c>
      <c r="K2510" s="20" t="str">
        <f>VLOOKUP(H2510,[1]媒体表!C:T,18,0)</f>
        <v>北京多彩</v>
      </c>
      <c r="L2510" s="58" t="s">
        <v>2554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8346.8</v>
      </c>
      <c r="T2510" s="59">
        <v>-8346.8</v>
      </c>
      <c r="U2510" s="59">
        <v>0</v>
      </c>
      <c r="V2510" s="45">
        <f t="shared" si="277"/>
        <v>0</v>
      </c>
      <c r="W2510" s="32">
        <f t="shared" si="278"/>
        <v>0</v>
      </c>
      <c r="X2510" s="32"/>
      <c r="Y2510" s="32">
        <f t="shared" si="281"/>
        <v>0</v>
      </c>
      <c r="Z2510" s="55">
        <f t="shared" si="279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ht="14.25" spans="1:34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2568</v>
      </c>
      <c r="F2511" s="51" t="s">
        <v>2568</v>
      </c>
      <c r="G2511" s="51" t="s">
        <v>2568</v>
      </c>
      <c r="H2511" s="51" t="s">
        <v>2965</v>
      </c>
      <c r="I2511" s="20" t="s">
        <v>2966</v>
      </c>
      <c r="J2511" s="20" t="s">
        <v>2967</v>
      </c>
      <c r="K2511" s="20" t="str">
        <f>VLOOKUP(H2511,[1]媒体表!C:T,18,0)</f>
        <v>北京多彩</v>
      </c>
      <c r="L2511" s="58" t="s">
        <v>2568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</v>
      </c>
      <c r="T2511" s="59"/>
      <c r="U2511" s="59">
        <v>0</v>
      </c>
      <c r="V2511" s="45">
        <f t="shared" si="277"/>
        <v>17854.83</v>
      </c>
      <c r="W2511" s="32">
        <f t="shared" si="278"/>
        <v>0</v>
      </c>
      <c r="X2511" s="32"/>
      <c r="Y2511" s="32">
        <f t="shared" si="281"/>
        <v>0</v>
      </c>
      <c r="Z2511" s="55">
        <f t="shared" si="279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ht="14.25" spans="1:34">
      <c r="A2512" s="19">
        <v>43831</v>
      </c>
      <c r="B2512" s="51" t="s">
        <v>34</v>
      </c>
      <c r="C2512" s="51" t="s">
        <v>1074</v>
      </c>
      <c r="D2512" s="51" t="s">
        <v>3036</v>
      </c>
      <c r="E2512" s="51" t="s">
        <v>1101</v>
      </c>
      <c r="F2512" s="51" t="s">
        <v>1101</v>
      </c>
      <c r="G2512" s="51" t="s">
        <v>1101</v>
      </c>
      <c r="H2512" s="51" t="s">
        <v>2965</v>
      </c>
      <c r="I2512" s="20" t="s">
        <v>2966</v>
      </c>
      <c r="J2512" s="20" t="s">
        <v>2967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7"/>
        <v>6500.6</v>
      </c>
      <c r="W2512" s="32">
        <f t="shared" si="278"/>
        <v>0</v>
      </c>
      <c r="X2512" s="32"/>
      <c r="Y2512" s="32">
        <f t="shared" si="281"/>
        <v>0</v>
      </c>
      <c r="Z2512" s="55">
        <f t="shared" si="279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ht="14.25" spans="1:34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2965</v>
      </c>
      <c r="I2513" s="20" t="s">
        <v>2966</v>
      </c>
      <c r="J2513" s="20" t="s">
        <v>2967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7"/>
        <v>0</v>
      </c>
      <c r="W2513" s="32">
        <f t="shared" si="278"/>
        <v>377336.9</v>
      </c>
      <c r="X2513" s="32"/>
      <c r="Y2513" s="32">
        <f t="shared" si="281"/>
        <v>377336.9</v>
      </c>
      <c r="Z2513" s="55">
        <f t="shared" si="279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ht="14.25" spans="1:34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3037</v>
      </c>
      <c r="F2514" s="51" t="s">
        <v>3037</v>
      </c>
      <c r="G2514" s="51" t="s">
        <v>3037</v>
      </c>
      <c r="H2514" s="51" t="s">
        <v>2965</v>
      </c>
      <c r="I2514" s="20" t="s">
        <v>2966</v>
      </c>
      <c r="J2514" s="20" t="s">
        <v>2967</v>
      </c>
      <c r="K2514" s="20" t="str">
        <f>VLOOKUP(H2514,[1]媒体表!C:T,18,0)</f>
        <v>北京多彩</v>
      </c>
      <c r="L2514" s="58" t="s">
        <v>3037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7"/>
        <v>8180.5</v>
      </c>
      <c r="W2514" s="32">
        <f t="shared" si="278"/>
        <v>0</v>
      </c>
      <c r="X2514" s="32"/>
      <c r="Y2514" s="32">
        <f t="shared" si="281"/>
        <v>0</v>
      </c>
      <c r="Z2514" s="55">
        <f t="shared" si="279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ht="14.25" spans="1:34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3038</v>
      </c>
      <c r="F2515" s="51" t="s">
        <v>3038</v>
      </c>
      <c r="G2515" s="51" t="s">
        <v>3038</v>
      </c>
      <c r="H2515" s="51" t="s">
        <v>2965</v>
      </c>
      <c r="I2515" s="20" t="s">
        <v>2966</v>
      </c>
      <c r="J2515" s="20" t="s">
        <v>2967</v>
      </c>
      <c r="K2515" s="20" t="str">
        <f>VLOOKUP(H2515,[1]媒体表!C:T,18,0)</f>
        <v>北京多彩</v>
      </c>
      <c r="L2515" s="58" t="s">
        <v>3038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7"/>
        <v>-4</v>
      </c>
      <c r="W2515" s="32">
        <f t="shared" si="278"/>
        <v>24817.84</v>
      </c>
      <c r="X2515" s="32"/>
      <c r="Y2515" s="32">
        <f t="shared" si="281"/>
        <v>24817.84</v>
      </c>
      <c r="Z2515" s="55">
        <f t="shared" si="279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ht="14.25" spans="1:34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2965</v>
      </c>
      <c r="I2516" s="20" t="s">
        <v>2966</v>
      </c>
      <c r="J2516" s="20" t="s">
        <v>2967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7"/>
        <v>0</v>
      </c>
      <c r="W2516" s="32">
        <f t="shared" si="278"/>
        <v>93962.78</v>
      </c>
      <c r="X2516" s="32"/>
      <c r="Y2516" s="32">
        <f t="shared" si="281"/>
        <v>93962.78</v>
      </c>
      <c r="Z2516" s="55">
        <f t="shared" si="279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ht="14.25" spans="1:34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3039</v>
      </c>
      <c r="F2517" s="51" t="s">
        <v>3039</v>
      </c>
      <c r="G2517" s="51" t="s">
        <v>3039</v>
      </c>
      <c r="H2517" s="51" t="s">
        <v>2965</v>
      </c>
      <c r="I2517" s="20" t="s">
        <v>2966</v>
      </c>
      <c r="J2517" s="20" t="s">
        <v>2967</v>
      </c>
      <c r="K2517" s="20" t="str">
        <f>VLOOKUP(H2517,[1]媒体表!C:T,18,0)</f>
        <v>北京多彩</v>
      </c>
      <c r="L2517" s="58" t="s">
        <v>3040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7"/>
        <v>-23.1999999999998</v>
      </c>
      <c r="W2517" s="32">
        <f t="shared" si="278"/>
        <v>0</v>
      </c>
      <c r="X2517" s="32"/>
      <c r="Y2517" s="32">
        <f t="shared" si="281"/>
        <v>0</v>
      </c>
      <c r="Z2517" s="55">
        <f t="shared" si="279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ht="14.25" spans="1:34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2965</v>
      </c>
      <c r="I2518" s="20" t="s">
        <v>2966</v>
      </c>
      <c r="J2518" s="20" t="s">
        <v>2967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7"/>
        <v>0</v>
      </c>
      <c r="W2518" s="32">
        <f t="shared" si="278"/>
        <v>0</v>
      </c>
      <c r="X2518" s="32"/>
      <c r="Y2518" s="32">
        <f t="shared" si="281"/>
        <v>0</v>
      </c>
      <c r="Z2518" s="55">
        <f t="shared" si="279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ht="14.25" spans="1:34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2965</v>
      </c>
      <c r="I2519" s="20" t="s">
        <v>2966</v>
      </c>
      <c r="J2519" s="20" t="s">
        <v>2967</v>
      </c>
      <c r="K2519" s="20" t="str">
        <f>VLOOKUP(H2519,[1]媒体表!C:T,18,0)</f>
        <v>北京多彩</v>
      </c>
      <c r="L2519" s="58" t="s">
        <v>3041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7"/>
        <v>59863.6</v>
      </c>
      <c r="W2519" s="32">
        <f t="shared" si="278"/>
        <v>106842.08</v>
      </c>
      <c r="X2519" s="32"/>
      <c r="Y2519" s="32">
        <f t="shared" si="281"/>
        <v>106842.08</v>
      </c>
      <c r="Z2519" s="55">
        <f t="shared" si="279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ht="14.25" spans="1:34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2965</v>
      </c>
      <c r="I2520" s="20" t="s">
        <v>2966</v>
      </c>
      <c r="J2520" s="20" t="s">
        <v>2967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</v>
      </c>
      <c r="T2520" s="59">
        <v>200000</v>
      </c>
      <c r="U2520" s="59">
        <v>102136.5</v>
      </c>
      <c r="V2520" s="45">
        <f t="shared" si="277"/>
        <v>117197.81</v>
      </c>
      <c r="W2520" s="32">
        <f t="shared" si="278"/>
        <v>102136.5</v>
      </c>
      <c r="X2520" s="32"/>
      <c r="Y2520" s="32">
        <f t="shared" si="281"/>
        <v>102136.5</v>
      </c>
      <c r="Z2520" s="55">
        <f t="shared" si="279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ht="14.25" spans="1:34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1848</v>
      </c>
      <c r="F2521" s="51" t="s">
        <v>1848</v>
      </c>
      <c r="G2521" s="51" t="s">
        <v>1848</v>
      </c>
      <c r="H2521" s="51" t="s">
        <v>2965</v>
      </c>
      <c r="I2521" s="20" t="s">
        <v>2966</v>
      </c>
      <c r="J2521" s="20" t="s">
        <v>2967</v>
      </c>
      <c r="K2521" s="20" t="str">
        <f>VLOOKUP(H2521,[1]媒体表!C:T,18,0)</f>
        <v>北京多彩</v>
      </c>
      <c r="L2521" s="58" t="s">
        <v>1849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7"/>
        <v>0</v>
      </c>
      <c r="W2521" s="32">
        <f t="shared" si="278"/>
        <v>11655.68</v>
      </c>
      <c r="X2521" s="32"/>
      <c r="Y2521" s="32">
        <f t="shared" si="281"/>
        <v>11655.68</v>
      </c>
      <c r="Z2521" s="55">
        <f t="shared" si="279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ht="14.25" spans="1:34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3042</v>
      </c>
      <c r="F2522" s="51" t="s">
        <v>3043</v>
      </c>
      <c r="G2522" s="51" t="s">
        <v>3043</v>
      </c>
      <c r="H2522" s="51" t="s">
        <v>2965</v>
      </c>
      <c r="I2522" s="20" t="s">
        <v>2966</v>
      </c>
      <c r="J2522" s="20" t="s">
        <v>2967</v>
      </c>
      <c r="K2522" s="20" t="str">
        <f>VLOOKUP(H2522,[1]媒体表!C:T,18,0)</f>
        <v>北京多彩</v>
      </c>
      <c r="L2522" s="58" t="s">
        <v>3043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7"/>
        <v>5.4</v>
      </c>
      <c r="W2522" s="32">
        <f t="shared" si="278"/>
        <v>0</v>
      </c>
      <c r="X2522" s="32"/>
      <c r="Y2522" s="32">
        <f t="shared" si="281"/>
        <v>0</v>
      </c>
      <c r="Z2522" s="55">
        <f t="shared" si="279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ht="14.25" spans="1:34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2965</v>
      </c>
      <c r="I2523" s="20" t="s">
        <v>2966</v>
      </c>
      <c r="J2523" s="20" t="s">
        <v>2967</v>
      </c>
      <c r="K2523" s="20" t="str">
        <f>VLOOKUP(H2523,[1]媒体表!C:T,18,0)</f>
        <v>北京多彩</v>
      </c>
      <c r="L2523" s="58" t="s">
        <v>2642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74696.54</v>
      </c>
      <c r="V2523" s="45">
        <f t="shared" si="277"/>
        <v>44077.96</v>
      </c>
      <c r="W2523" s="32">
        <f t="shared" si="278"/>
        <v>74696.54</v>
      </c>
      <c r="X2523" s="32"/>
      <c r="Y2523" s="32">
        <f t="shared" si="281"/>
        <v>74696.54</v>
      </c>
      <c r="Z2523" s="55">
        <f t="shared" si="279"/>
        <v>0</v>
      </c>
      <c r="AA2523" s="59">
        <v>74696.54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ht="14.25" spans="1:34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2965</v>
      </c>
      <c r="I2524" s="20" t="s">
        <v>2966</v>
      </c>
      <c r="J2524" s="20" t="s">
        <v>2967</v>
      </c>
      <c r="K2524" s="20" t="str">
        <f>VLOOKUP(H2524,[1]媒体表!C:T,18,0)</f>
        <v>北京多彩</v>
      </c>
      <c r="L2524" s="58" t="s">
        <v>2646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7"/>
        <v>6979.21</v>
      </c>
      <c r="W2524" s="32">
        <f t="shared" si="278"/>
        <v>3.01</v>
      </c>
      <c r="X2524" s="32"/>
      <c r="Y2524" s="32">
        <f t="shared" si="281"/>
        <v>3.01</v>
      </c>
      <c r="Z2524" s="55">
        <f t="shared" si="279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ht="14.25" spans="1:34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1855</v>
      </c>
      <c r="G2525" s="51" t="s">
        <v>872</v>
      </c>
      <c r="H2525" s="51" t="s">
        <v>2965</v>
      </c>
      <c r="I2525" s="20" t="s">
        <v>2966</v>
      </c>
      <c r="J2525" s="20" t="s">
        <v>2967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7"/>
        <v>0</v>
      </c>
      <c r="W2525" s="32">
        <f t="shared" si="278"/>
        <v>13826.57</v>
      </c>
      <c r="X2525" s="32"/>
      <c r="Y2525" s="32">
        <f t="shared" si="281"/>
        <v>13826.57</v>
      </c>
      <c r="Z2525" s="55">
        <f t="shared" si="279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ht="14.25" spans="1:34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3044</v>
      </c>
      <c r="F2526" s="51" t="s">
        <v>3044</v>
      </c>
      <c r="G2526" s="51" t="s">
        <v>3044</v>
      </c>
      <c r="H2526" s="51" t="s">
        <v>2965</v>
      </c>
      <c r="I2526" s="20" t="s">
        <v>2966</v>
      </c>
      <c r="J2526" s="20" t="s">
        <v>2967</v>
      </c>
      <c r="K2526" s="20" t="str">
        <f>VLOOKUP(H2526,[1]媒体表!C:T,18,0)</f>
        <v>北京多彩</v>
      </c>
      <c r="L2526" s="58" t="s">
        <v>3044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7"/>
        <v>60975.98</v>
      </c>
      <c r="W2526" s="32">
        <f t="shared" si="278"/>
        <v>0</v>
      </c>
      <c r="X2526" s="32"/>
      <c r="Y2526" s="32">
        <f t="shared" si="281"/>
        <v>0</v>
      </c>
      <c r="Z2526" s="55">
        <f t="shared" si="279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ht="14.25" spans="1:34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2965</v>
      </c>
      <c r="I2527" s="20" t="s">
        <v>2966</v>
      </c>
      <c r="J2527" s="20" t="s">
        <v>2967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7"/>
        <v>0</v>
      </c>
      <c r="W2527" s="32">
        <f t="shared" si="278"/>
        <v>61529.33</v>
      </c>
      <c r="X2527" s="32"/>
      <c r="Y2527" s="32">
        <f t="shared" si="281"/>
        <v>61529.33</v>
      </c>
      <c r="Z2527" s="55">
        <f t="shared" si="279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ht="14.25" spans="1:34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2965</v>
      </c>
      <c r="I2528" s="20" t="s">
        <v>2966</v>
      </c>
      <c r="J2528" s="20" t="s">
        <v>2967</v>
      </c>
      <c r="K2528" s="20" t="str">
        <f>VLOOKUP(H2528,[1]媒体表!C:T,18,0)</f>
        <v>北京多彩</v>
      </c>
      <c r="L2528" s="58" t="s">
        <v>3045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2">S2528+T2528-U2528</f>
        <v>40728.15</v>
      </c>
      <c r="W2528" s="32">
        <f t="shared" ref="W2528:W2572" si="283">IF(O2528="返货",U2528/(1+P2528),IF(O2528="返现",U2528,IF(O2528="折扣",U2528*P2528,IF(O2528="无",U2528))))</f>
        <v>59271.85</v>
      </c>
      <c r="X2528" s="32"/>
      <c r="Y2528" s="32">
        <f t="shared" si="281"/>
        <v>59271.85</v>
      </c>
      <c r="Z2528" s="55">
        <f t="shared" ref="Z2528:Z2591" si="284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ht="14.25" spans="1:34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2965</v>
      </c>
      <c r="I2529" s="20" t="s">
        <v>2966</v>
      </c>
      <c r="J2529" s="20" t="s">
        <v>2967</v>
      </c>
      <c r="K2529" s="20" t="str">
        <f>VLOOKUP(H2529,[1]媒体表!C:T,18,0)</f>
        <v>北京多彩</v>
      </c>
      <c r="L2529" s="58" t="s">
        <v>3046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</v>
      </c>
      <c r="T2529" s="59"/>
      <c r="U2529" s="59">
        <v>416</v>
      </c>
      <c r="V2529" s="45">
        <f t="shared" si="282"/>
        <v>7992.7</v>
      </c>
      <c r="W2529" s="32">
        <f t="shared" si="283"/>
        <v>416</v>
      </c>
      <c r="X2529" s="32"/>
      <c r="Y2529" s="32">
        <f t="shared" si="281"/>
        <v>416</v>
      </c>
      <c r="Z2529" s="55">
        <f t="shared" si="284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ht="14.25" spans="1:34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2698</v>
      </c>
      <c r="F2530" s="51" t="s">
        <v>2698</v>
      </c>
      <c r="G2530" s="51" t="s">
        <v>2698</v>
      </c>
      <c r="H2530" s="51" t="s">
        <v>2965</v>
      </c>
      <c r="I2530" s="20" t="s">
        <v>2966</v>
      </c>
      <c r="J2530" s="20" t="s">
        <v>2967</v>
      </c>
      <c r="K2530" s="20" t="str">
        <f>VLOOKUP(H2530,[1]媒体表!C:T,18,0)</f>
        <v>北京多彩</v>
      </c>
      <c r="L2530" s="58" t="s">
        <v>3047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2"/>
        <v>2223.4</v>
      </c>
      <c r="W2530" s="32">
        <f t="shared" si="283"/>
        <v>15597</v>
      </c>
      <c r="X2530" s="32"/>
      <c r="Y2530" s="32">
        <f t="shared" si="281"/>
        <v>15597</v>
      </c>
      <c r="Z2530" s="55">
        <f t="shared" si="284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ht="14.25" spans="1:34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3048</v>
      </c>
      <c r="F2531" s="51" t="s">
        <v>3048</v>
      </c>
      <c r="G2531" s="51" t="s">
        <v>3048</v>
      </c>
      <c r="H2531" s="51" t="s">
        <v>2965</v>
      </c>
      <c r="I2531" s="20" t="s">
        <v>2966</v>
      </c>
      <c r="J2531" s="20" t="s">
        <v>2967</v>
      </c>
      <c r="K2531" s="20" t="str">
        <f>VLOOKUP(H2531,[1]媒体表!C:T,18,0)</f>
        <v>北京多彩</v>
      </c>
      <c r="L2531" s="58" t="s">
        <v>3049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2"/>
        <v>-5</v>
      </c>
      <c r="W2531" s="32">
        <f t="shared" si="283"/>
        <v>5469.7</v>
      </c>
      <c r="X2531" s="32"/>
      <c r="Y2531" s="32">
        <f t="shared" si="281"/>
        <v>5469.7</v>
      </c>
      <c r="Z2531" s="55">
        <f t="shared" si="284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ht="14.25" spans="1:34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3050</v>
      </c>
      <c r="F2532" s="51" t="s">
        <v>3050</v>
      </c>
      <c r="G2532" s="51" t="s">
        <v>3050</v>
      </c>
      <c r="H2532" s="51" t="s">
        <v>2965</v>
      </c>
      <c r="I2532" s="20" t="s">
        <v>2966</v>
      </c>
      <c r="J2532" s="20" t="s">
        <v>2967</v>
      </c>
      <c r="K2532" s="20" t="str">
        <f>VLOOKUP(H2532,[1]媒体表!C:T,18,0)</f>
        <v>北京多彩</v>
      </c>
      <c r="L2532" s="58" t="s">
        <v>3050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2"/>
        <v>676.6</v>
      </c>
      <c r="W2532" s="32">
        <f t="shared" si="283"/>
        <v>0</v>
      </c>
      <c r="X2532" s="32"/>
      <c r="Y2532" s="32">
        <f t="shared" si="281"/>
        <v>0</v>
      </c>
      <c r="Z2532" s="55">
        <f t="shared" si="284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ht="14.25" spans="1:34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2965</v>
      </c>
      <c r="I2533" s="20" t="s">
        <v>2966</v>
      </c>
      <c r="J2533" s="20" t="s">
        <v>2967</v>
      </c>
      <c r="K2533" s="20" t="str">
        <f>VLOOKUP(H2533,[1]媒体表!C:T,18,0)</f>
        <v>北京多彩</v>
      </c>
      <c r="L2533" s="58" t="s">
        <v>3051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3"/>
        <v>29706.9</v>
      </c>
      <c r="X2533" s="32">
        <f>W2533*R2533</f>
        <v>297.069</v>
      </c>
      <c r="Y2533" s="32">
        <f t="shared" si="281"/>
        <v>30003.969</v>
      </c>
      <c r="Z2533" s="55">
        <f t="shared" si="284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ht="14.25" spans="1:34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3052</v>
      </c>
      <c r="F2534" s="51" t="s">
        <v>3053</v>
      </c>
      <c r="G2534" s="51" t="s">
        <v>3053</v>
      </c>
      <c r="H2534" s="51" t="s">
        <v>2965</v>
      </c>
      <c r="I2534" s="20" t="s">
        <v>2966</v>
      </c>
      <c r="J2534" s="20" t="s">
        <v>2967</v>
      </c>
      <c r="K2534" s="20" t="str">
        <f>VLOOKUP(H2534,[1]媒体表!C:T,18,0)</f>
        <v>北京多彩</v>
      </c>
      <c r="L2534" s="58" t="s">
        <v>3053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5">S2534+T2534-U2534</f>
        <v>46.04</v>
      </c>
      <c r="W2534" s="32">
        <f t="shared" si="283"/>
        <v>0</v>
      </c>
      <c r="X2534" s="32"/>
      <c r="Y2534" s="32">
        <f t="shared" si="281"/>
        <v>0</v>
      </c>
      <c r="Z2534" s="55">
        <f t="shared" si="284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ht="14.25" spans="1:34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2965</v>
      </c>
      <c r="I2535" s="20" t="s">
        <v>2966</v>
      </c>
      <c r="J2535" s="20" t="s">
        <v>2967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5"/>
        <v>15624.1</v>
      </c>
      <c r="W2535" s="32">
        <f t="shared" si="283"/>
        <v>0</v>
      </c>
      <c r="X2535" s="32"/>
      <c r="Y2535" s="32">
        <f t="shared" si="281"/>
        <v>0</v>
      </c>
      <c r="Z2535" s="55">
        <f t="shared" si="284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ht="14.25" spans="1:34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2965</v>
      </c>
      <c r="I2536" s="20" t="s">
        <v>2966</v>
      </c>
      <c r="J2536" s="20" t="s">
        <v>2967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5"/>
        <v>7545.26999999999</v>
      </c>
      <c r="W2536" s="32">
        <f t="shared" si="283"/>
        <v>178981.17</v>
      </c>
      <c r="X2536" s="32"/>
      <c r="Y2536" s="32">
        <f t="shared" si="281"/>
        <v>178981.17</v>
      </c>
      <c r="Z2536" s="55">
        <f t="shared" si="284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ht="14.25" spans="1:34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2741</v>
      </c>
      <c r="F2537" s="51" t="s">
        <v>2741</v>
      </c>
      <c r="G2537" s="51" t="s">
        <v>2741</v>
      </c>
      <c r="H2537" s="51" t="s">
        <v>2965</v>
      </c>
      <c r="I2537" s="20" t="s">
        <v>2966</v>
      </c>
      <c r="J2537" s="20" t="s">
        <v>2967</v>
      </c>
      <c r="K2537" s="20" t="str">
        <f>VLOOKUP(H2537,[1]媒体表!C:T,18,0)</f>
        <v>北京多彩</v>
      </c>
      <c r="L2537" s="58" t="s">
        <v>2741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9267.8</v>
      </c>
      <c r="T2537" s="59"/>
      <c r="U2537" s="59">
        <v>0</v>
      </c>
      <c r="V2537" s="45">
        <f t="shared" si="285"/>
        <v>9267.8</v>
      </c>
      <c r="W2537" s="32">
        <f t="shared" si="283"/>
        <v>0</v>
      </c>
      <c r="X2537" s="32"/>
      <c r="Y2537" s="32">
        <f t="shared" si="281"/>
        <v>0</v>
      </c>
      <c r="Z2537" s="55">
        <f t="shared" si="284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ht="14.25" spans="1:34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2965</v>
      </c>
      <c r="I2538" s="20" t="s">
        <v>2966</v>
      </c>
      <c r="J2538" s="20" t="s">
        <v>2967</v>
      </c>
      <c r="K2538" s="20" t="str">
        <f>VLOOKUP(H2538,[1]媒体表!C:T,18,0)</f>
        <v>北京多彩</v>
      </c>
      <c r="L2538" s="58" t="s">
        <v>3054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</v>
      </c>
      <c r="T2538" s="59">
        <v>9523.8</v>
      </c>
      <c r="U2538" s="59">
        <v>4079.6</v>
      </c>
      <c r="V2538" s="45">
        <f t="shared" si="285"/>
        <v>7633</v>
      </c>
      <c r="W2538" s="32">
        <f t="shared" si="283"/>
        <v>4079.6</v>
      </c>
      <c r="X2538" s="32">
        <f t="shared" ref="X2538:X2542" si="286">W2538*R2538</f>
        <v>203.98</v>
      </c>
      <c r="Y2538" s="32">
        <f t="shared" si="281"/>
        <v>4283.58</v>
      </c>
      <c r="Z2538" s="55">
        <f t="shared" si="284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ht="14.25" spans="1:34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3055</v>
      </c>
      <c r="F2539" s="51" t="s">
        <v>3056</v>
      </c>
      <c r="G2539" s="51" t="s">
        <v>3055</v>
      </c>
      <c r="H2539" s="51" t="s">
        <v>2965</v>
      </c>
      <c r="I2539" s="20" t="s">
        <v>2966</v>
      </c>
      <c r="J2539" s="20" t="s">
        <v>2967</v>
      </c>
      <c r="K2539" s="20" t="str">
        <f>VLOOKUP(H2539,[1]媒体表!C:T,18,0)</f>
        <v>北京多彩</v>
      </c>
      <c r="L2539" s="58" t="s">
        <v>3057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5"/>
        <v>20000</v>
      </c>
      <c r="W2539" s="32">
        <f t="shared" si="283"/>
        <v>0</v>
      </c>
      <c r="X2539" s="32"/>
      <c r="Y2539" s="32">
        <f t="shared" si="281"/>
        <v>0</v>
      </c>
      <c r="Z2539" s="55">
        <f t="shared" si="284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ht="14.25" spans="1:34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3058</v>
      </c>
      <c r="F2540" s="51" t="s">
        <v>3058</v>
      </c>
      <c r="G2540" s="51" t="s">
        <v>3058</v>
      </c>
      <c r="H2540" s="51" t="s">
        <v>2965</v>
      </c>
      <c r="I2540" s="20" t="s">
        <v>63</v>
      </c>
      <c r="J2540" s="20" t="s">
        <v>2967</v>
      </c>
      <c r="K2540" s="20" t="str">
        <f>VLOOKUP(H2540,[1]媒体表!C:T,18,0)</f>
        <v>北京多彩</v>
      </c>
      <c r="L2540" s="58" t="s">
        <v>3058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9.30999999999767</v>
      </c>
      <c r="T2540" s="59"/>
      <c r="U2540" s="59">
        <v>9.31</v>
      </c>
      <c r="V2540" s="45">
        <v>0</v>
      </c>
      <c r="W2540" s="32">
        <f t="shared" si="283"/>
        <v>9.31</v>
      </c>
      <c r="X2540" s="32">
        <f t="shared" si="286"/>
        <v>0.2793</v>
      </c>
      <c r="Y2540" s="32">
        <f t="shared" si="281"/>
        <v>9.5893</v>
      </c>
      <c r="Z2540" s="55">
        <f t="shared" si="284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ht="14.25" spans="1:34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2965</v>
      </c>
      <c r="I2541" s="20" t="s">
        <v>2966</v>
      </c>
      <c r="J2541" s="20" t="s">
        <v>2967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72.4500000000007</v>
      </c>
      <c r="T2541" s="59">
        <v>4761.9</v>
      </c>
      <c r="U2541" s="59">
        <v>4834.35</v>
      </c>
      <c r="V2541" s="45">
        <f t="shared" ref="V2541:V2564" si="287">S2541+T2541-U2541</f>
        <v>0</v>
      </c>
      <c r="W2541" s="32">
        <f t="shared" si="283"/>
        <v>4834.35</v>
      </c>
      <c r="X2541" s="32">
        <f>S2541*2%+(U2541-S2541)*R2541</f>
        <v>239.544</v>
      </c>
      <c r="Y2541" s="32"/>
      <c r="Z2541" s="55">
        <f t="shared" si="284"/>
        <v>0</v>
      </c>
      <c r="AA2541" s="59">
        <v>4834.35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ht="14.25" spans="1:34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3059</v>
      </c>
      <c r="F2542" s="51" t="s">
        <v>3059</v>
      </c>
      <c r="G2542" s="51" t="s">
        <v>3059</v>
      </c>
      <c r="H2542" s="51" t="s">
        <v>2965</v>
      </c>
      <c r="I2542" s="20" t="s">
        <v>2966</v>
      </c>
      <c r="J2542" s="20" t="s">
        <v>2967</v>
      </c>
      <c r="K2542" s="20" t="str">
        <f>VLOOKUP(H2542,[1]媒体表!C:T,18,0)</f>
        <v>北京多彩</v>
      </c>
      <c r="L2542" s="58" t="s">
        <v>3059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7"/>
        <v>12</v>
      </c>
      <c r="W2542" s="32">
        <f t="shared" si="283"/>
        <v>130.5</v>
      </c>
      <c r="X2542" s="32">
        <f t="shared" si="286"/>
        <v>2.61</v>
      </c>
      <c r="Y2542" s="32">
        <f t="shared" ref="Y2542:Y2551" si="288">W2542+X2542</f>
        <v>133.11</v>
      </c>
      <c r="Z2542" s="55">
        <f t="shared" si="284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ht="14.25" spans="1:34">
      <c r="A2543" s="19">
        <v>43831</v>
      </c>
      <c r="B2543" s="51" t="s">
        <v>34</v>
      </c>
      <c r="C2543" s="51" t="s">
        <v>1332</v>
      </c>
      <c r="D2543" s="51" t="s">
        <v>1886</v>
      </c>
      <c r="E2543" s="51" t="s">
        <v>3060</v>
      </c>
      <c r="F2543" s="51" t="s">
        <v>3061</v>
      </c>
      <c r="G2543" s="51" t="s">
        <v>3060</v>
      </c>
      <c r="H2543" s="51" t="s">
        <v>2965</v>
      </c>
      <c r="I2543" s="20" t="s">
        <v>2966</v>
      </c>
      <c r="J2543" s="20" t="s">
        <v>2967</v>
      </c>
      <c r="K2543" s="20" t="str">
        <f>VLOOKUP(H2543,[1]媒体表!C:T,18,0)</f>
        <v>北京多彩</v>
      </c>
      <c r="L2543" s="58" t="s">
        <v>3060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7"/>
        <v>-32</v>
      </c>
      <c r="W2543" s="32">
        <f t="shared" si="283"/>
        <v>0</v>
      </c>
      <c r="X2543" s="32"/>
      <c r="Y2543" s="32">
        <f t="shared" si="288"/>
        <v>0</v>
      </c>
      <c r="Z2543" s="55">
        <f t="shared" si="284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ht="14.25" spans="1:34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3062</v>
      </c>
      <c r="F2544" s="51" t="s">
        <v>3062</v>
      </c>
      <c r="G2544" s="51" t="s">
        <v>3062</v>
      </c>
      <c r="H2544" s="51" t="s">
        <v>2965</v>
      </c>
      <c r="I2544" s="20" t="s">
        <v>2966</v>
      </c>
      <c r="J2544" s="20" t="s">
        <v>2967</v>
      </c>
      <c r="K2544" s="20" t="str">
        <f>VLOOKUP(H2544,[1]媒体表!C:T,18,0)</f>
        <v>北京多彩</v>
      </c>
      <c r="L2544" s="58" t="s">
        <v>3062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7"/>
        <v>43.76</v>
      </c>
      <c r="W2544" s="32">
        <f t="shared" si="283"/>
        <v>0</v>
      </c>
      <c r="X2544" s="32"/>
      <c r="Y2544" s="32">
        <f t="shared" si="288"/>
        <v>0</v>
      </c>
      <c r="Z2544" s="55">
        <f t="shared" si="284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ht="14.25" spans="1:34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2965</v>
      </c>
      <c r="I2545" s="20" t="s">
        <v>2966</v>
      </c>
      <c r="J2545" s="20" t="s">
        <v>2967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7"/>
        <v>18769.63</v>
      </c>
      <c r="W2545" s="32">
        <f t="shared" si="283"/>
        <v>20</v>
      </c>
      <c r="X2545" s="32">
        <f t="shared" ref="X2545:X2551" si="289">W2545*R2545</f>
        <v>0.4</v>
      </c>
      <c r="Y2545" s="32">
        <f t="shared" si="288"/>
        <v>20.4</v>
      </c>
      <c r="Z2545" s="55">
        <f t="shared" si="284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ht="14.25" spans="1:34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3063</v>
      </c>
      <c r="F2546" s="51" t="s">
        <v>3063</v>
      </c>
      <c r="G2546" s="51" t="s">
        <v>3063</v>
      </c>
      <c r="H2546" s="51" t="s">
        <v>2965</v>
      </c>
      <c r="I2546" s="20" t="s">
        <v>2966</v>
      </c>
      <c r="J2546" s="20" t="s">
        <v>2967</v>
      </c>
      <c r="K2546" s="20" t="str">
        <f>VLOOKUP(H2546,[1]媒体表!C:T,18,0)</f>
        <v>北京多彩</v>
      </c>
      <c r="L2546" s="58" t="s">
        <v>3064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-32.3500000000058</v>
      </c>
      <c r="T2546" s="59"/>
      <c r="U2546" s="59">
        <v>0</v>
      </c>
      <c r="V2546" s="45">
        <f t="shared" si="287"/>
        <v>-32.3500000000058</v>
      </c>
      <c r="W2546" s="32">
        <f t="shared" si="283"/>
        <v>0</v>
      </c>
      <c r="X2546" s="32"/>
      <c r="Y2546" s="32">
        <f t="shared" si="288"/>
        <v>0</v>
      </c>
      <c r="Z2546" s="55">
        <f t="shared" si="284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ht="14.25" spans="1:34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2965</v>
      </c>
      <c r="I2547" s="20" t="s">
        <v>2966</v>
      </c>
      <c r="J2547" s="20" t="s">
        <v>2967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7"/>
        <v>28038</v>
      </c>
      <c r="W2547" s="32">
        <f t="shared" si="283"/>
        <v>0</v>
      </c>
      <c r="X2547" s="32">
        <f t="shared" si="289"/>
        <v>0</v>
      </c>
      <c r="Y2547" s="32">
        <f t="shared" si="288"/>
        <v>0</v>
      </c>
      <c r="Z2547" s="55">
        <f t="shared" si="284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ht="14.25" spans="1:34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2965</v>
      </c>
      <c r="I2548" s="20" t="s">
        <v>2966</v>
      </c>
      <c r="J2548" s="20" t="s">
        <v>2967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7"/>
        <v>0</v>
      </c>
      <c r="W2548" s="32">
        <f t="shared" si="283"/>
        <v>0</v>
      </c>
      <c r="X2548" s="32">
        <f t="shared" si="289"/>
        <v>0</v>
      </c>
      <c r="Y2548" s="32">
        <f t="shared" si="288"/>
        <v>0</v>
      </c>
      <c r="Z2548" s="55">
        <f t="shared" si="284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ht="14.25" spans="1:34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2965</v>
      </c>
      <c r="I2549" s="20" t="s">
        <v>2966</v>
      </c>
      <c r="J2549" s="20" t="s">
        <v>2967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>
        <v>-3727728.42</v>
      </c>
      <c r="T2549" s="59"/>
      <c r="U2549" s="59">
        <v>0</v>
      </c>
      <c r="V2549" s="45">
        <f t="shared" si="287"/>
        <v>-3727728.42</v>
      </c>
      <c r="W2549" s="32">
        <f t="shared" si="283"/>
        <v>0</v>
      </c>
      <c r="X2549" s="32">
        <f t="shared" si="289"/>
        <v>0</v>
      </c>
      <c r="Y2549" s="32">
        <f t="shared" si="288"/>
        <v>0</v>
      </c>
      <c r="Z2549" s="55">
        <f t="shared" si="284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ht="14.25" spans="1:34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2965</v>
      </c>
      <c r="I2550" s="20" t="s">
        <v>2966</v>
      </c>
      <c r="J2550" s="20" t="s">
        <v>2967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7"/>
        <v>724057.57</v>
      </c>
      <c r="W2550" s="32">
        <f t="shared" si="283"/>
        <v>1397913.17</v>
      </c>
      <c r="X2550" s="32">
        <f t="shared" si="289"/>
        <v>76885.22435</v>
      </c>
      <c r="Y2550" s="32">
        <f t="shared" si="288"/>
        <v>1474798.39435</v>
      </c>
      <c r="Z2550" s="55">
        <f t="shared" si="284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ht="14.25" spans="1:34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2965</v>
      </c>
      <c r="I2551" s="20" t="s">
        <v>2966</v>
      </c>
      <c r="J2551" s="20" t="s">
        <v>2967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0</v>
      </c>
      <c r="T2551" s="59">
        <v>4558940</v>
      </c>
      <c r="U2551" s="59">
        <v>3717896.15</v>
      </c>
      <c r="V2551" s="45">
        <f t="shared" si="287"/>
        <v>841043.85</v>
      </c>
      <c r="W2551" s="32">
        <f t="shared" si="283"/>
        <v>3717896.15</v>
      </c>
      <c r="X2551" s="32">
        <f t="shared" si="289"/>
        <v>204484.28825</v>
      </c>
      <c r="Y2551" s="32">
        <f t="shared" si="288"/>
        <v>3922380.43825</v>
      </c>
      <c r="Z2551" s="55">
        <f t="shared" si="284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3065</v>
      </c>
      <c r="AF2551" s="51" t="s">
        <v>44</v>
      </c>
      <c r="AG2551" s="58">
        <v>0</v>
      </c>
      <c r="AH2551" s="38" t="e">
        <v>#N/A</v>
      </c>
    </row>
    <row r="2552" ht="14.25" spans="1:34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3066</v>
      </c>
      <c r="F2552" s="51" t="s">
        <v>3066</v>
      </c>
      <c r="G2552" s="51" t="s">
        <v>3066</v>
      </c>
      <c r="H2552" s="51" t="s">
        <v>2965</v>
      </c>
      <c r="I2552" s="20" t="s">
        <v>2966</v>
      </c>
      <c r="J2552" s="20" t="s">
        <v>2967</v>
      </c>
      <c r="K2552" s="20" t="str">
        <f>VLOOKUP(H2552,[1]媒体表!C:T,18,0)</f>
        <v>北京多彩</v>
      </c>
      <c r="L2552" s="58" t="s">
        <v>3067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7"/>
        <v>9780</v>
      </c>
      <c r="W2552" s="32">
        <f t="shared" si="283"/>
        <v>0</v>
      </c>
      <c r="X2552" s="32"/>
      <c r="Y2552" s="32"/>
      <c r="Z2552" s="55">
        <f t="shared" si="284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ht="14.25" spans="1:34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3068</v>
      </c>
      <c r="F2553" s="51" t="s">
        <v>3068</v>
      </c>
      <c r="G2553" s="51" t="s">
        <v>3068</v>
      </c>
      <c r="H2553" s="51" t="s">
        <v>2965</v>
      </c>
      <c r="I2553" s="20" t="s">
        <v>2966</v>
      </c>
      <c r="J2553" s="20" t="s">
        <v>2967</v>
      </c>
      <c r="K2553" s="20" t="str">
        <f>VLOOKUP(H2553,[1]媒体表!C:T,18,0)</f>
        <v>北京多彩</v>
      </c>
      <c r="L2553" s="58" t="s">
        <v>3069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7"/>
        <v>6846.43</v>
      </c>
      <c r="W2553" s="32">
        <f t="shared" si="283"/>
        <v>0</v>
      </c>
      <c r="X2553" s="32"/>
      <c r="Y2553" s="32">
        <f t="shared" ref="Y2553:Y2584" si="290">W2553+X2553</f>
        <v>0</v>
      </c>
      <c r="Z2553" s="55">
        <f t="shared" si="284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ht="14.25" spans="1:34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3070</v>
      </c>
      <c r="F2554" s="51" t="s">
        <v>3070</v>
      </c>
      <c r="G2554" s="51" t="s">
        <v>3070</v>
      </c>
      <c r="H2554" s="51" t="s">
        <v>2965</v>
      </c>
      <c r="I2554" s="20" t="s">
        <v>2966</v>
      </c>
      <c r="J2554" s="20" t="s">
        <v>2967</v>
      </c>
      <c r="K2554" s="20" t="str">
        <f>VLOOKUP(H2554,[1]媒体表!C:T,18,0)</f>
        <v>北京多彩</v>
      </c>
      <c r="L2554" s="58" t="s">
        <v>3071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7"/>
        <v>7726</v>
      </c>
      <c r="W2554" s="32">
        <f t="shared" si="283"/>
        <v>0</v>
      </c>
      <c r="X2554" s="32"/>
      <c r="Y2554" s="32">
        <f t="shared" si="290"/>
        <v>0</v>
      </c>
      <c r="Z2554" s="55">
        <f t="shared" si="284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ht="14.25" spans="1:34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2817</v>
      </c>
      <c r="F2555" s="51" t="s">
        <v>2817</v>
      </c>
      <c r="G2555" s="51" t="s">
        <v>2817</v>
      </c>
      <c r="H2555" s="51" t="s">
        <v>2965</v>
      </c>
      <c r="I2555" s="20" t="s">
        <v>2966</v>
      </c>
      <c r="J2555" s="20" t="s">
        <v>2967</v>
      </c>
      <c r="K2555" s="20" t="str">
        <f>VLOOKUP(H2555,[1]媒体表!C:T,18,0)</f>
        <v>北京多彩</v>
      </c>
      <c r="L2555" s="58" t="s">
        <v>2818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7"/>
        <v>10000</v>
      </c>
      <c r="W2555" s="32">
        <f t="shared" si="283"/>
        <v>0</v>
      </c>
      <c r="X2555" s="32"/>
      <c r="Y2555" s="32">
        <f t="shared" si="290"/>
        <v>0</v>
      </c>
      <c r="Z2555" s="55">
        <f t="shared" si="284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ht="14.25" spans="1:34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2965</v>
      </c>
      <c r="I2556" s="20" t="s">
        <v>2966</v>
      </c>
      <c r="J2556" s="20" t="s">
        <v>2967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7"/>
        <v>31090.4</v>
      </c>
      <c r="W2556" s="32">
        <f t="shared" si="283"/>
        <v>33833.4</v>
      </c>
      <c r="X2556" s="32"/>
      <c r="Y2556" s="32">
        <f t="shared" si="290"/>
        <v>33833.4</v>
      </c>
      <c r="Z2556" s="55">
        <f t="shared" si="284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ht="14.25" spans="1:34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3072</v>
      </c>
      <c r="F2557" s="51" t="s">
        <v>3072</v>
      </c>
      <c r="G2557" s="51" t="s">
        <v>3072</v>
      </c>
      <c r="H2557" s="51" t="s">
        <v>2965</v>
      </c>
      <c r="I2557" s="20" t="s">
        <v>2966</v>
      </c>
      <c r="J2557" s="20" t="s">
        <v>2967</v>
      </c>
      <c r="K2557" s="20" t="str">
        <f>VLOOKUP(H2557,[1]媒体表!C:T,18,0)</f>
        <v>北京多彩</v>
      </c>
      <c r="L2557" s="58" t="s">
        <v>3073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7"/>
        <v>35484</v>
      </c>
      <c r="W2557" s="32">
        <f t="shared" si="283"/>
        <v>0</v>
      </c>
      <c r="X2557" s="32"/>
      <c r="Y2557" s="32">
        <f t="shared" si="290"/>
        <v>0</v>
      </c>
      <c r="Z2557" s="55">
        <f t="shared" si="284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ht="14.25" spans="1:34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3074</v>
      </c>
      <c r="G2558" s="51" t="s">
        <v>289</v>
      </c>
      <c r="H2558" s="51" t="s">
        <v>2965</v>
      </c>
      <c r="I2558" s="20" t="s">
        <v>2966</v>
      </c>
      <c r="J2558" s="20" t="s">
        <v>2967</v>
      </c>
      <c r="K2558" s="20" t="str">
        <f>VLOOKUP(H2558,[1]媒体表!C:T,18,0)</f>
        <v>北京多彩</v>
      </c>
      <c r="L2558" s="58" t="s">
        <v>3073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7"/>
        <v>400000</v>
      </c>
      <c r="W2558" s="32">
        <f t="shared" si="283"/>
        <v>0</v>
      </c>
      <c r="X2558" s="32"/>
      <c r="Y2558" s="32">
        <f t="shared" si="290"/>
        <v>0</v>
      </c>
      <c r="Z2558" s="55">
        <f t="shared" si="284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ht="14.25" spans="1:34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2965</v>
      </c>
      <c r="I2559" s="20" t="s">
        <v>2966</v>
      </c>
      <c r="J2559" s="20" t="s">
        <v>2967</v>
      </c>
      <c r="K2559" s="20" t="str">
        <f>VLOOKUP(H2559,[1]媒体表!C:T,18,0)</f>
        <v>北京多彩</v>
      </c>
      <c r="L2559" s="58" t="s">
        <v>3075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7"/>
        <v>13552</v>
      </c>
      <c r="W2559" s="32">
        <f t="shared" si="283"/>
        <v>0</v>
      </c>
      <c r="X2559" s="32"/>
      <c r="Y2559" s="32">
        <f t="shared" si="290"/>
        <v>0</v>
      </c>
      <c r="Z2559" s="55">
        <f t="shared" si="284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ht="14.25" spans="1:34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3076</v>
      </c>
      <c r="F2560" s="51" t="s">
        <v>3077</v>
      </c>
      <c r="G2560" s="51" t="s">
        <v>1051</v>
      </c>
      <c r="H2560" s="51" t="s">
        <v>2965</v>
      </c>
      <c r="I2560" s="20" t="s">
        <v>2966</v>
      </c>
      <c r="J2560" s="20" t="s">
        <v>2967</v>
      </c>
      <c r="K2560" s="20" t="str">
        <f>VLOOKUP(H2560,[1]媒体表!C:T,18,0)</f>
        <v>北京多彩</v>
      </c>
      <c r="L2560" s="58" t="s">
        <v>3078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7"/>
        <v>10</v>
      </c>
      <c r="W2560" s="32">
        <f t="shared" si="283"/>
        <v>0</v>
      </c>
      <c r="X2560" s="32"/>
      <c r="Y2560" s="32">
        <f t="shared" si="290"/>
        <v>0</v>
      </c>
      <c r="Z2560" s="55">
        <f t="shared" si="284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ht="14.25" spans="1:34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3079</v>
      </c>
      <c r="F2561" s="51" t="s">
        <v>3080</v>
      </c>
      <c r="G2561" s="51" t="s">
        <v>1927</v>
      </c>
      <c r="H2561" s="51" t="s">
        <v>2965</v>
      </c>
      <c r="I2561" s="20" t="s">
        <v>2966</v>
      </c>
      <c r="J2561" s="20" t="s">
        <v>2967</v>
      </c>
      <c r="K2561" s="20" t="str">
        <f>VLOOKUP(H2561,[1]媒体表!C:T,18,0)</f>
        <v>北京多彩</v>
      </c>
      <c r="L2561" s="58" t="s">
        <v>3079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7"/>
        <v>148.93</v>
      </c>
      <c r="W2561" s="32">
        <f t="shared" si="283"/>
        <v>0</v>
      </c>
      <c r="X2561" s="32"/>
      <c r="Y2561" s="32">
        <f t="shared" si="290"/>
        <v>0</v>
      </c>
      <c r="Z2561" s="55">
        <f t="shared" si="284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ht="14.25" spans="1:34">
      <c r="A2562" s="19">
        <v>43831</v>
      </c>
      <c r="B2562" s="51" t="s">
        <v>1933</v>
      </c>
      <c r="C2562" s="51" t="s">
        <v>650</v>
      </c>
      <c r="D2562" s="51" t="s">
        <v>714</v>
      </c>
      <c r="E2562" s="51" t="s">
        <v>810</v>
      </c>
      <c r="F2562" s="51" t="s">
        <v>3081</v>
      </c>
      <c r="G2562" s="51" t="s">
        <v>1936</v>
      </c>
      <c r="H2562" s="51" t="s">
        <v>2965</v>
      </c>
      <c r="I2562" s="20" t="s">
        <v>2966</v>
      </c>
      <c r="J2562" s="20" t="s">
        <v>2967</v>
      </c>
      <c r="K2562" s="20" t="str">
        <f>VLOOKUP(H2562,[1]媒体表!C:T,18,0)</f>
        <v>北京多彩</v>
      </c>
      <c r="L2562" s="58" t="s">
        <v>2325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7"/>
        <v>0</v>
      </c>
      <c r="W2562" s="32">
        <f t="shared" si="283"/>
        <v>700000</v>
      </c>
      <c r="X2562" s="32"/>
      <c r="Y2562" s="32">
        <f t="shared" si="290"/>
        <v>700000</v>
      </c>
      <c r="Z2562" s="55">
        <f t="shared" si="284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ht="14.25" spans="1:34">
      <c r="A2563" s="19">
        <v>43831</v>
      </c>
      <c r="B2563" s="51" t="s">
        <v>1933</v>
      </c>
      <c r="C2563" s="51" t="s">
        <v>650</v>
      </c>
      <c r="D2563" s="51" t="s">
        <v>714</v>
      </c>
      <c r="E2563" s="51" t="s">
        <v>1317</v>
      </c>
      <c r="F2563" s="51" t="s">
        <v>3082</v>
      </c>
      <c r="G2563" s="51" t="s">
        <v>1936</v>
      </c>
      <c r="H2563" s="51" t="s">
        <v>2965</v>
      </c>
      <c r="I2563" s="20" t="s">
        <v>2966</v>
      </c>
      <c r="J2563" s="20" t="s">
        <v>2967</v>
      </c>
      <c r="K2563" s="20" t="str">
        <f>VLOOKUP(H2563,[1]媒体表!C:T,18,0)</f>
        <v>北京多彩</v>
      </c>
      <c r="L2563" s="58" t="s">
        <v>2325</v>
      </c>
      <c r="M2563" s="51" t="s">
        <v>65</v>
      </c>
      <c r="N2563" s="51" t="s">
        <v>42</v>
      </c>
      <c r="O2563" s="59" t="s">
        <v>74</v>
      </c>
      <c r="P2563" s="58">
        <v>0.994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7"/>
        <v>0</v>
      </c>
      <c r="W2563" s="32">
        <f t="shared" si="283"/>
        <v>3139374.44366</v>
      </c>
      <c r="X2563" s="32"/>
      <c r="Y2563" s="32">
        <f t="shared" si="290"/>
        <v>3139374.44366</v>
      </c>
      <c r="Z2563" s="55">
        <f t="shared" si="284"/>
        <v>18949.9463399998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ht="14.25" spans="1:34">
      <c r="A2564" s="19">
        <v>43831</v>
      </c>
      <c r="B2564" s="51" t="s">
        <v>1933</v>
      </c>
      <c r="C2564" s="51" t="s">
        <v>650</v>
      </c>
      <c r="D2564" s="51" t="s">
        <v>714</v>
      </c>
      <c r="E2564" s="51" t="s">
        <v>818</v>
      </c>
      <c r="F2564" s="51" t="s">
        <v>3083</v>
      </c>
      <c r="G2564" s="51" t="s">
        <v>1936</v>
      </c>
      <c r="H2564" s="51" t="s">
        <v>2965</v>
      </c>
      <c r="I2564" s="20" t="s">
        <v>2966</v>
      </c>
      <c r="J2564" s="20" t="s">
        <v>2967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</v>
      </c>
      <c r="T2564" s="59">
        <v>200000</v>
      </c>
      <c r="U2564" s="59">
        <v>1511691.35</v>
      </c>
      <c r="V2564" s="45">
        <f t="shared" si="287"/>
        <v>0</v>
      </c>
      <c r="W2564" s="32">
        <f t="shared" si="283"/>
        <v>1511691.35</v>
      </c>
      <c r="X2564" s="32"/>
      <c r="Y2564" s="32">
        <f t="shared" si="290"/>
        <v>1511691.35</v>
      </c>
      <c r="Z2564" s="55">
        <f t="shared" si="284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ht="14.25" spans="1:34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3084</v>
      </c>
      <c r="S2565" s="34"/>
      <c r="T2565" s="34"/>
      <c r="U2565" s="34">
        <v>196610</v>
      </c>
      <c r="V2565" s="32">
        <v>0</v>
      </c>
      <c r="W2565" s="32">
        <f t="shared" si="283"/>
        <v>196610</v>
      </c>
      <c r="X2565" s="32">
        <f>W2565*5%</f>
        <v>9830.5</v>
      </c>
      <c r="Y2565" s="32">
        <f t="shared" si="290"/>
        <v>206440.5</v>
      </c>
      <c r="Z2565" s="32">
        <f t="shared" si="284"/>
        <v>0</v>
      </c>
      <c r="AA2565" s="34">
        <v>196610</v>
      </c>
      <c r="AB2565" s="24">
        <v>0.053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ht="14.25" spans="1:34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3085</v>
      </c>
      <c r="F2566" s="51" t="s">
        <v>3085</v>
      </c>
      <c r="G2566" s="51" t="s">
        <v>3085</v>
      </c>
      <c r="H2566" s="51" t="s">
        <v>3086</v>
      </c>
      <c r="I2566" s="20" t="s">
        <v>108</v>
      </c>
      <c r="J2566" s="20" t="s">
        <v>3087</v>
      </c>
      <c r="K2566" s="20" t="str">
        <f>VLOOKUP(H2566,[1]媒体表!C:T,18,0)</f>
        <v>北京多彩</v>
      </c>
      <c r="L2566" s="51" t="s">
        <v>3085</v>
      </c>
      <c r="M2566" s="51"/>
      <c r="N2566" s="51" t="s">
        <v>3088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3"/>
        <v>228696</v>
      </c>
      <c r="X2566" s="34"/>
      <c r="Y2566" s="32">
        <f t="shared" si="290"/>
        <v>228696</v>
      </c>
      <c r="Z2566" s="59">
        <f t="shared" si="284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ht="14.25" spans="1:34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2860</v>
      </c>
      <c r="F2567" s="51" t="s">
        <v>3089</v>
      </c>
      <c r="G2567" s="51" t="s">
        <v>76</v>
      </c>
      <c r="H2567" s="51" t="s">
        <v>3090</v>
      </c>
      <c r="I2567" s="20" t="s">
        <v>108</v>
      </c>
      <c r="J2567" s="20" t="s">
        <v>3091</v>
      </c>
      <c r="K2567" s="20" t="str">
        <f>VLOOKUP(H2567,[1]媒体表!C:T,18,0)</f>
        <v>霍尔果斯多彩</v>
      </c>
      <c r="L2567" s="51" t="s">
        <v>2860</v>
      </c>
      <c r="M2567" s="51"/>
      <c r="N2567" s="51" t="s">
        <v>3092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3"/>
        <v>360000</v>
      </c>
      <c r="X2567" s="34"/>
      <c r="Y2567" s="32">
        <f t="shared" si="290"/>
        <v>360000</v>
      </c>
      <c r="Z2567" s="59">
        <f t="shared" si="284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ht="14.25" spans="1:34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1751</v>
      </c>
      <c r="F2568" s="51" t="s">
        <v>3093</v>
      </c>
      <c r="G2568" s="51" t="s">
        <v>76</v>
      </c>
      <c r="H2568" s="51" t="s">
        <v>3090</v>
      </c>
      <c r="I2568" s="20" t="s">
        <v>108</v>
      </c>
      <c r="J2568" s="20" t="s">
        <v>3091</v>
      </c>
      <c r="K2568" s="20" t="str">
        <f>VLOOKUP(H2568,[1]媒体表!C:T,18,0)</f>
        <v>霍尔果斯多彩</v>
      </c>
      <c r="L2568" s="51" t="s">
        <v>1751</v>
      </c>
      <c r="M2568" s="51"/>
      <c r="N2568" s="51" t="s">
        <v>3092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3"/>
        <v>218000</v>
      </c>
      <c r="X2568" s="34"/>
      <c r="Y2568" s="32">
        <f t="shared" si="290"/>
        <v>218000</v>
      </c>
      <c r="Z2568" s="59">
        <f t="shared" si="284"/>
        <v>0</v>
      </c>
      <c r="AA2568" s="59">
        <v>171500</v>
      </c>
      <c r="AB2568" s="58">
        <v>0</v>
      </c>
      <c r="AC2568" s="51"/>
      <c r="AD2568" s="51"/>
      <c r="AE2568" s="51" t="s">
        <v>3094</v>
      </c>
      <c r="AF2568" s="51" t="s">
        <v>44</v>
      </c>
      <c r="AG2568" s="58">
        <v>0</v>
      </c>
      <c r="AH2568" s="38" t="e">
        <v>#N/A</v>
      </c>
    </row>
    <row r="2569" ht="14.25" spans="1:34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1751</v>
      </c>
      <c r="F2569" s="51" t="s">
        <v>3095</v>
      </c>
      <c r="G2569" s="51" t="s">
        <v>76</v>
      </c>
      <c r="H2569" s="51" t="s">
        <v>3090</v>
      </c>
      <c r="I2569" s="20" t="s">
        <v>108</v>
      </c>
      <c r="J2569" s="20" t="s">
        <v>3091</v>
      </c>
      <c r="K2569" s="20" t="str">
        <f>VLOOKUP(H2569,[1]媒体表!C:T,18,0)</f>
        <v>霍尔果斯多彩</v>
      </c>
      <c r="L2569" s="51" t="s">
        <v>1751</v>
      </c>
      <c r="M2569" s="51"/>
      <c r="N2569" s="51" t="s">
        <v>3092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3"/>
        <v>270000</v>
      </c>
      <c r="X2569" s="34"/>
      <c r="Y2569" s="32">
        <f t="shared" si="290"/>
        <v>270000</v>
      </c>
      <c r="Z2569" s="59">
        <f t="shared" si="284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ht="14.25" spans="1:34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2860</v>
      </c>
      <c r="F2570" s="51" t="s">
        <v>3096</v>
      </c>
      <c r="G2570" s="51" t="s">
        <v>76</v>
      </c>
      <c r="H2570" s="51" t="s">
        <v>3090</v>
      </c>
      <c r="I2570" s="20" t="s">
        <v>108</v>
      </c>
      <c r="J2570" s="20" t="s">
        <v>3091</v>
      </c>
      <c r="K2570" s="20" t="str">
        <f>VLOOKUP(H2570,[1]媒体表!C:T,18,0)</f>
        <v>霍尔果斯多彩</v>
      </c>
      <c r="L2570" s="51" t="s">
        <v>2860</v>
      </c>
      <c r="M2570" s="51"/>
      <c r="N2570" s="51" t="s">
        <v>3092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3"/>
        <v>94000</v>
      </c>
      <c r="X2570" s="34"/>
      <c r="Y2570" s="32">
        <f t="shared" si="290"/>
        <v>94000</v>
      </c>
      <c r="Z2570" s="59">
        <f t="shared" si="284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ht="14.25" spans="1:34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3097</v>
      </c>
      <c r="I2571" s="20" t="s">
        <v>108</v>
      </c>
      <c r="J2571" s="20" t="s">
        <v>3098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3099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3"/>
        <v>380000</v>
      </c>
      <c r="X2571" s="34"/>
      <c r="Y2571" s="32">
        <f t="shared" si="290"/>
        <v>380000</v>
      </c>
      <c r="Z2571" s="59">
        <f t="shared" si="284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ht="14.25" spans="1:34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3100</v>
      </c>
      <c r="F2572" s="51" t="s">
        <v>3101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3099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3"/>
        <v>12000</v>
      </c>
      <c r="X2572" s="34"/>
      <c r="Y2572" s="32">
        <f t="shared" si="290"/>
        <v>12000</v>
      </c>
      <c r="Z2572" s="59">
        <f t="shared" si="284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ht="14.25" spans="1:34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3102</v>
      </c>
      <c r="I2573" s="20" t="s">
        <v>108</v>
      </c>
      <c r="J2573" s="20" t="s">
        <v>3103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1">S2573+T2573-U2573</f>
        <v>-1179030.05</v>
      </c>
      <c r="W2573" s="34">
        <v>6500000</v>
      </c>
      <c r="X2573" s="34">
        <f>W2573*5%</f>
        <v>325000</v>
      </c>
      <c r="Y2573" s="32">
        <f t="shared" si="290"/>
        <v>6825000</v>
      </c>
      <c r="Z2573" s="59">
        <f t="shared" si="284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ht="14.25" spans="1:34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3104</v>
      </c>
      <c r="F2574" s="51" t="s">
        <v>3105</v>
      </c>
      <c r="G2574" s="51" t="s">
        <v>76</v>
      </c>
      <c r="H2574" s="51" t="s">
        <v>3090</v>
      </c>
      <c r="I2574" s="20" t="s">
        <v>108</v>
      </c>
      <c r="J2574" s="20" t="s">
        <v>3091</v>
      </c>
      <c r="K2574" s="20" t="str">
        <f>VLOOKUP(H2574,[1]媒体表!C:T,18,0)</f>
        <v>霍尔果斯多彩</v>
      </c>
      <c r="L2574" s="51" t="s">
        <v>3104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58944.96</v>
      </c>
      <c r="T2574" s="59">
        <v>-31249.16</v>
      </c>
      <c r="U2574" s="59">
        <v>0</v>
      </c>
      <c r="V2574" s="59">
        <f t="shared" si="291"/>
        <v>27695.8</v>
      </c>
      <c r="W2574" s="34">
        <f t="shared" ref="W2574:W2606" si="292">IF(O2574="返货",U2574/(1+P2574),IF(O2574="返现",U2574,IF(O2574="折扣",U2574*P2574,IF(O2574="无",U2574))))</f>
        <v>0</v>
      </c>
      <c r="X2574" s="34"/>
      <c r="Y2574" s="32">
        <f t="shared" si="290"/>
        <v>0</v>
      </c>
      <c r="Z2574" s="59">
        <f t="shared" si="284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ht="14.25" spans="1:34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3106</v>
      </c>
      <c r="F2575" s="51" t="s">
        <v>3107</v>
      </c>
      <c r="G2575" s="51" t="s">
        <v>76</v>
      </c>
      <c r="H2575" s="51" t="s">
        <v>3090</v>
      </c>
      <c r="I2575" s="20" t="s">
        <v>108</v>
      </c>
      <c r="J2575" s="20" t="s">
        <v>3091</v>
      </c>
      <c r="K2575" s="20" t="str">
        <f>VLOOKUP(H2575,[1]媒体表!C:T,18,0)</f>
        <v>霍尔果斯多彩</v>
      </c>
      <c r="L2575" s="51" t="s">
        <v>3106</v>
      </c>
      <c r="M2575" s="51"/>
      <c r="N2575" s="51" t="s">
        <v>59</v>
      </c>
      <c r="O2575" s="51" t="s">
        <v>43</v>
      </c>
      <c r="P2575" s="58">
        <v>0.08</v>
      </c>
      <c r="Q2575" s="53" t="s">
        <v>3108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1"/>
        <v>-1736095.88</v>
      </c>
      <c r="W2575" s="34">
        <f>IF(O2575="返货",U2575/(1+P2575),IF(O2575="返现",U2575,IF(O2575="折扣",U2575*P2575,IF(O2575="无",U2575))))-4350.24</f>
        <v>2225470.88037037</v>
      </c>
      <c r="X2575" s="34"/>
      <c r="Y2575" s="32">
        <f t="shared" si="290"/>
        <v>2225470.88037037</v>
      </c>
      <c r="Z2575" s="59">
        <f t="shared" si="284"/>
        <v>182735.92962963</v>
      </c>
      <c r="AA2575" s="59">
        <v>1670622.822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ht="14.25" spans="1:34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3109</v>
      </c>
      <c r="I2576" s="20" t="s">
        <v>108</v>
      </c>
      <c r="J2576" s="20" t="s">
        <v>3110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0.07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1"/>
        <v>-51360</v>
      </c>
      <c r="W2576" s="34">
        <f t="shared" si="292"/>
        <v>240000</v>
      </c>
      <c r="X2576" s="34"/>
      <c r="Y2576" s="32">
        <f t="shared" si="290"/>
        <v>240000</v>
      </c>
      <c r="Z2576" s="59">
        <f t="shared" si="284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ht="14.25" spans="1:34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3111</v>
      </c>
      <c r="I2577" s="20" t="s">
        <v>108</v>
      </c>
      <c r="J2577" s="20" t="s">
        <v>3112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1"/>
        <v>0</v>
      </c>
      <c r="W2577" s="34">
        <f t="shared" si="292"/>
        <v>120000</v>
      </c>
      <c r="X2577" s="34"/>
      <c r="Y2577" s="32">
        <f t="shared" si="290"/>
        <v>120000</v>
      </c>
      <c r="Z2577" s="59">
        <f t="shared" si="284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ht="14.25" spans="1:34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3109</v>
      </c>
      <c r="I2578" s="20" t="s">
        <v>108</v>
      </c>
      <c r="J2578" s="20" t="s">
        <v>3110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0.07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1"/>
        <v>-8560</v>
      </c>
      <c r="W2578" s="34">
        <f t="shared" si="292"/>
        <v>40000</v>
      </c>
      <c r="X2578" s="34"/>
      <c r="Y2578" s="32">
        <f t="shared" si="290"/>
        <v>40000</v>
      </c>
      <c r="Z2578" s="59">
        <f t="shared" si="284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ht="14.25" spans="1:34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3113</v>
      </c>
      <c r="F2579" s="51" t="s">
        <v>3114</v>
      </c>
      <c r="G2579" s="51" t="s">
        <v>1927</v>
      </c>
      <c r="H2579" s="51" t="s">
        <v>3115</v>
      </c>
      <c r="I2579" s="20" t="s">
        <v>108</v>
      </c>
      <c r="J2579" s="20" t="s">
        <v>3116</v>
      </c>
      <c r="K2579" s="20" t="str">
        <f>VLOOKUP(H2579,[1]媒体表!C:T,18,0)</f>
        <v>霍尔果斯多彩</v>
      </c>
      <c r="L2579" s="51" t="s">
        <v>3113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145780.36</v>
      </c>
      <c r="U2579" s="59">
        <v>155918.26</v>
      </c>
      <c r="V2579" s="59">
        <f t="shared" si="291"/>
        <v>84407.54</v>
      </c>
      <c r="W2579" s="34">
        <f t="shared" si="292"/>
        <v>147092.698113208</v>
      </c>
      <c r="X2579" s="34"/>
      <c r="Y2579" s="32">
        <f t="shared" si="290"/>
        <v>147092.698113208</v>
      </c>
      <c r="Z2579" s="59">
        <f t="shared" si="284"/>
        <v>8825.56188679245</v>
      </c>
      <c r="AA2579" s="59">
        <v>127569.485454545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ht="14.25" spans="1:34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3117</v>
      </c>
      <c r="F2580" s="51" t="s">
        <v>3117</v>
      </c>
      <c r="G2580" s="51" t="s">
        <v>3117</v>
      </c>
      <c r="H2580" s="51" t="s">
        <v>3109</v>
      </c>
      <c r="I2580" s="20" t="s">
        <v>108</v>
      </c>
      <c r="J2580" s="20" t="s">
        <v>3110</v>
      </c>
      <c r="K2580" s="20" t="str">
        <f>VLOOKUP(H2580,[1]媒体表!C:T,18,0)</f>
        <v>北京多彩</v>
      </c>
      <c r="L2580" s="58" t="s">
        <v>3117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1"/>
        <v>-3000</v>
      </c>
      <c r="W2580" s="34">
        <f t="shared" si="292"/>
        <v>0</v>
      </c>
      <c r="X2580" s="34"/>
      <c r="Y2580" s="32">
        <f t="shared" si="290"/>
        <v>0</v>
      </c>
      <c r="Z2580" s="59">
        <f t="shared" si="284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ht="14.25" spans="1:34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3090</v>
      </c>
      <c r="I2581" s="20" t="s">
        <v>108</v>
      </c>
      <c r="J2581" s="20" t="s">
        <v>3091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1"/>
        <v>-12323.9</v>
      </c>
      <c r="W2581" s="34">
        <f t="shared" si="292"/>
        <v>0</v>
      </c>
      <c r="X2581" s="34"/>
      <c r="Y2581" s="32">
        <f t="shared" si="290"/>
        <v>0</v>
      </c>
      <c r="Z2581" s="59">
        <f t="shared" si="284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ht="14.25" spans="1:34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3113</v>
      </c>
      <c r="F2582" s="51" t="s">
        <v>3114</v>
      </c>
      <c r="G2582" s="51" t="s">
        <v>1927</v>
      </c>
      <c r="H2582" s="51" t="s">
        <v>3118</v>
      </c>
      <c r="I2582" s="20" t="s">
        <v>108</v>
      </c>
      <c r="J2582" s="20"/>
      <c r="K2582" s="20"/>
      <c r="L2582" s="58" t="s">
        <v>3113</v>
      </c>
      <c r="M2582" s="51"/>
      <c r="N2582" s="51" t="s">
        <v>59</v>
      </c>
      <c r="O2582" s="59" t="s">
        <v>43</v>
      </c>
      <c r="P2582" s="58">
        <v>0.07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1"/>
        <v>-551851</v>
      </c>
      <c r="W2582" s="34">
        <f t="shared" si="292"/>
        <v>0</v>
      </c>
      <c r="X2582" s="34"/>
      <c r="Y2582" s="32">
        <f t="shared" si="290"/>
        <v>0</v>
      </c>
      <c r="Z2582" s="59">
        <f t="shared" si="284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ht="14.25" spans="1:34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2900</v>
      </c>
      <c r="F2583" s="51" t="s">
        <v>2900</v>
      </c>
      <c r="G2583" s="51" t="s">
        <v>2900</v>
      </c>
      <c r="H2583" s="51" t="s">
        <v>3119</v>
      </c>
      <c r="I2583" s="20" t="s">
        <v>108</v>
      </c>
      <c r="J2583" s="20"/>
      <c r="K2583" s="20"/>
      <c r="L2583" s="58" t="s">
        <v>2900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1"/>
        <v>-885561.23</v>
      </c>
      <c r="W2583" s="34">
        <f t="shared" si="292"/>
        <v>0</v>
      </c>
      <c r="X2583" s="34"/>
      <c r="Y2583" s="32">
        <f t="shared" si="290"/>
        <v>0</v>
      </c>
      <c r="Z2583" s="59">
        <f t="shared" si="284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ht="14.25" spans="1:34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3090</v>
      </c>
      <c r="I2584" s="20" t="s">
        <v>108</v>
      </c>
      <c r="J2584" s="20" t="s">
        <v>3091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1"/>
        <v>13500</v>
      </c>
      <c r="W2584" s="34">
        <f t="shared" si="292"/>
        <v>0</v>
      </c>
      <c r="X2584" s="34"/>
      <c r="Y2584" s="32">
        <f t="shared" si="290"/>
        <v>0</v>
      </c>
      <c r="Z2584" s="59">
        <f t="shared" si="284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ht="14.25" spans="1:34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3120</v>
      </c>
      <c r="F2585" s="51" t="s">
        <v>3120</v>
      </c>
      <c r="G2585" s="51" t="s">
        <v>3120</v>
      </c>
      <c r="H2585" s="51" t="s">
        <v>3121</v>
      </c>
      <c r="I2585" s="20" t="s">
        <v>108</v>
      </c>
      <c r="J2585" s="20"/>
      <c r="K2585" s="20"/>
      <c r="L2585" s="58" t="s">
        <v>3120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1"/>
        <v>-467.13</v>
      </c>
      <c r="W2585" s="34">
        <f t="shared" si="292"/>
        <v>0</v>
      </c>
      <c r="X2585" s="34"/>
      <c r="Y2585" s="34"/>
      <c r="Z2585" s="59">
        <f t="shared" si="284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ht="14.25" spans="1:34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3122</v>
      </c>
      <c r="G2586" s="51" t="s">
        <v>76</v>
      </c>
      <c r="H2586" s="51" t="s">
        <v>3123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1"/>
        <v>40943.42</v>
      </c>
      <c r="W2586" s="34">
        <f t="shared" si="292"/>
        <v>0</v>
      </c>
      <c r="X2586" s="34"/>
      <c r="Y2586" s="32">
        <f t="shared" ref="Y2586:Y2649" si="293">W2586+X2586</f>
        <v>0</v>
      </c>
      <c r="Z2586" s="59">
        <f t="shared" si="284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ht="14.25" spans="1:34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3122</v>
      </c>
      <c r="G2587" s="51" t="s">
        <v>76</v>
      </c>
      <c r="H2587" s="51" t="s">
        <v>3123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1"/>
        <v>14857.4</v>
      </c>
      <c r="W2587" s="34">
        <f t="shared" si="292"/>
        <v>0</v>
      </c>
      <c r="X2587" s="34"/>
      <c r="Y2587" s="32">
        <f t="shared" si="293"/>
        <v>0</v>
      </c>
      <c r="Z2587" s="59">
        <f t="shared" si="284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ht="14.25" spans="1:34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3124</v>
      </c>
      <c r="F2588" s="51" t="s">
        <v>3125</v>
      </c>
      <c r="G2588" s="51" t="s">
        <v>76</v>
      </c>
      <c r="H2588" s="51" t="s">
        <v>3126</v>
      </c>
      <c r="I2588" s="20" t="s">
        <v>108</v>
      </c>
      <c r="J2588" s="20"/>
      <c r="K2588" s="20"/>
      <c r="L2588" s="58" t="s">
        <v>3124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2648920.32</v>
      </c>
      <c r="T2588" s="59">
        <v>0</v>
      </c>
      <c r="U2588" s="59">
        <v>0</v>
      </c>
      <c r="V2588" s="59">
        <f t="shared" si="291"/>
        <v>2648920.32</v>
      </c>
      <c r="W2588" s="34">
        <f t="shared" si="292"/>
        <v>0</v>
      </c>
      <c r="X2588" s="34"/>
      <c r="Y2588" s="32">
        <f t="shared" si="293"/>
        <v>0</v>
      </c>
      <c r="Z2588" s="59">
        <f t="shared" si="284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ht="14.25" spans="1:34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3127</v>
      </c>
      <c r="F2589" s="51" t="s">
        <v>3127</v>
      </c>
      <c r="G2589" s="51" t="s">
        <v>3127</v>
      </c>
      <c r="H2589" s="51" t="s">
        <v>3121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3128</v>
      </c>
      <c r="R2589" s="59"/>
      <c r="S2589" s="59">
        <v>-35392.47</v>
      </c>
      <c r="T2589" s="59">
        <v>0</v>
      </c>
      <c r="U2589" s="59">
        <v>0</v>
      </c>
      <c r="V2589" s="59">
        <f t="shared" si="291"/>
        <v>-35392.47</v>
      </c>
      <c r="W2589" s="34">
        <f t="shared" si="292"/>
        <v>0</v>
      </c>
      <c r="X2589" s="34"/>
      <c r="Y2589" s="32">
        <f t="shared" si="293"/>
        <v>0</v>
      </c>
      <c r="Z2589" s="59">
        <f t="shared" si="284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ht="14.25" spans="1:34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2382</v>
      </c>
      <c r="F2590" s="51" t="s">
        <v>2382</v>
      </c>
      <c r="G2590" s="51" t="s">
        <v>2382</v>
      </c>
      <c r="H2590" s="51" t="s">
        <v>3121</v>
      </c>
      <c r="I2590" s="20" t="s">
        <v>108</v>
      </c>
      <c r="J2590" s="20"/>
      <c r="K2590" s="20"/>
      <c r="L2590" s="58" t="s">
        <v>2382</v>
      </c>
      <c r="M2590" s="51"/>
      <c r="N2590" s="51" t="s">
        <v>59</v>
      </c>
      <c r="O2590" s="59" t="s">
        <v>82</v>
      </c>
      <c r="P2590" s="58">
        <v>0</v>
      </c>
      <c r="Q2590" s="61" t="s">
        <v>3129</v>
      </c>
      <c r="R2590" s="59"/>
      <c r="S2590" s="59">
        <v>-5000.01</v>
      </c>
      <c r="T2590" s="59">
        <v>0</v>
      </c>
      <c r="U2590" s="59">
        <v>0</v>
      </c>
      <c r="V2590" s="59">
        <f t="shared" si="291"/>
        <v>-5000.01</v>
      </c>
      <c r="W2590" s="34">
        <f t="shared" si="292"/>
        <v>0</v>
      </c>
      <c r="X2590" s="34"/>
      <c r="Y2590" s="32">
        <f t="shared" si="293"/>
        <v>0</v>
      </c>
      <c r="Z2590" s="59">
        <f t="shared" si="284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ht="14.25" spans="1:34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3130</v>
      </c>
      <c r="F2591" s="51" t="s">
        <v>3130</v>
      </c>
      <c r="G2591" s="51" t="s">
        <v>3130</v>
      </c>
      <c r="H2591" s="51" t="s">
        <v>3121</v>
      </c>
      <c r="I2591" s="20" t="s">
        <v>108</v>
      </c>
      <c r="J2591" s="20"/>
      <c r="K2591" s="20"/>
      <c r="L2591" s="58" t="s">
        <v>3131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1"/>
        <v>-6406.44</v>
      </c>
      <c r="W2591" s="34">
        <f t="shared" si="292"/>
        <v>0</v>
      </c>
      <c r="X2591" s="34"/>
      <c r="Y2591" s="32">
        <f t="shared" si="293"/>
        <v>0</v>
      </c>
      <c r="Z2591" s="59">
        <f t="shared" si="284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ht="14.25" spans="1:34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3132</v>
      </c>
      <c r="F2592" s="51" t="s">
        <v>3132</v>
      </c>
      <c r="G2592" s="51" t="s">
        <v>3132</v>
      </c>
      <c r="H2592" s="51" t="s">
        <v>3121</v>
      </c>
      <c r="I2592" s="20" t="s">
        <v>108</v>
      </c>
      <c r="J2592" s="20"/>
      <c r="K2592" s="20"/>
      <c r="L2592" s="58" t="s">
        <v>3133</v>
      </c>
      <c r="M2592" s="51"/>
      <c r="N2592" s="51" t="s">
        <v>59</v>
      </c>
      <c r="O2592" s="59" t="s">
        <v>43</v>
      </c>
      <c r="P2592" s="58">
        <v>0.12</v>
      </c>
      <c r="Q2592" s="61" t="s">
        <v>3134</v>
      </c>
      <c r="R2592" s="59"/>
      <c r="S2592" s="59">
        <v>-630.86</v>
      </c>
      <c r="T2592" s="59">
        <v>0</v>
      </c>
      <c r="U2592" s="59">
        <v>0</v>
      </c>
      <c r="V2592" s="59">
        <f t="shared" si="291"/>
        <v>-630.86</v>
      </c>
      <c r="W2592" s="34">
        <f t="shared" si="292"/>
        <v>0</v>
      </c>
      <c r="X2592" s="34"/>
      <c r="Y2592" s="32">
        <f t="shared" si="293"/>
        <v>0</v>
      </c>
      <c r="Z2592" s="59">
        <f t="shared" ref="Z2592:Z2605" si="294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ht="14.25" spans="1:34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3135</v>
      </c>
      <c r="F2593" s="51" t="s">
        <v>3135</v>
      </c>
      <c r="G2593" s="51" t="s">
        <v>3135</v>
      </c>
      <c r="H2593" s="51" t="s">
        <v>3090</v>
      </c>
      <c r="I2593" s="20" t="s">
        <v>108</v>
      </c>
      <c r="J2593" s="20" t="s">
        <v>3091</v>
      </c>
      <c r="K2593" s="20" t="str">
        <f>VLOOKUP(H2593,[1]媒体表!C:T,18,0)</f>
        <v>霍尔果斯多彩</v>
      </c>
      <c r="L2593" s="58" t="s">
        <v>3135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1"/>
        <v>3683.98</v>
      </c>
      <c r="W2593" s="34">
        <f t="shared" si="292"/>
        <v>0</v>
      </c>
      <c r="X2593" s="34"/>
      <c r="Y2593" s="32">
        <f t="shared" si="293"/>
        <v>0</v>
      </c>
      <c r="Z2593" s="59">
        <f t="shared" si="294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ht="14.25" spans="1:34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2900</v>
      </c>
      <c r="F2594" s="51" t="s">
        <v>2900</v>
      </c>
      <c r="G2594" s="51" t="s">
        <v>2900</v>
      </c>
      <c r="H2594" s="51" t="s">
        <v>3136</v>
      </c>
      <c r="I2594" s="20" t="s">
        <v>108</v>
      </c>
      <c r="J2594" s="20"/>
      <c r="K2594" s="20"/>
      <c r="L2594" s="58" t="s">
        <v>2900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1"/>
        <v>-195.3</v>
      </c>
      <c r="W2594" s="34">
        <f t="shared" si="292"/>
        <v>0</v>
      </c>
      <c r="X2594" s="34"/>
      <c r="Y2594" s="32">
        <f t="shared" si="293"/>
        <v>0</v>
      </c>
      <c r="Z2594" s="59">
        <f t="shared" si="294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ht="14.25" spans="1:34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2900</v>
      </c>
      <c r="F2595" s="51" t="s">
        <v>2900</v>
      </c>
      <c r="G2595" s="51" t="s">
        <v>2900</v>
      </c>
      <c r="H2595" s="51" t="s">
        <v>3136</v>
      </c>
      <c r="I2595" s="20" t="s">
        <v>108</v>
      </c>
      <c r="J2595" s="20"/>
      <c r="K2595" s="20"/>
      <c r="L2595" s="58" t="s">
        <v>2900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1"/>
        <v>4532.58</v>
      </c>
      <c r="W2595" s="34">
        <f t="shared" si="292"/>
        <v>0</v>
      </c>
      <c r="X2595" s="34"/>
      <c r="Y2595" s="32">
        <f t="shared" si="293"/>
        <v>0</v>
      </c>
      <c r="Z2595" s="59">
        <f t="shared" si="294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ht="14.25" spans="1:34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2346</v>
      </c>
      <c r="F2596" s="51" t="s">
        <v>2346</v>
      </c>
      <c r="G2596" s="51" t="s">
        <v>2346</v>
      </c>
      <c r="H2596" s="51" t="s">
        <v>3126</v>
      </c>
      <c r="I2596" s="20" t="s">
        <v>108</v>
      </c>
      <c r="J2596" s="20"/>
      <c r="K2596" s="20"/>
      <c r="L2596" s="58" t="s">
        <v>2346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-37523.38</v>
      </c>
      <c r="T2596" s="59">
        <v>0</v>
      </c>
      <c r="U2596" s="59">
        <v>0</v>
      </c>
      <c r="V2596" s="59">
        <f t="shared" si="291"/>
        <v>-37523.38</v>
      </c>
      <c r="W2596" s="34">
        <f t="shared" si="292"/>
        <v>0</v>
      </c>
      <c r="X2596" s="34"/>
      <c r="Y2596" s="32">
        <f t="shared" si="293"/>
        <v>0</v>
      </c>
      <c r="Z2596" s="59">
        <f t="shared" si="294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ht="14.25" spans="1:34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3137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4.59999999999991</v>
      </c>
      <c r="T2597" s="59">
        <v>0</v>
      </c>
      <c r="U2597" s="59">
        <v>0</v>
      </c>
      <c r="V2597" s="59">
        <f t="shared" si="291"/>
        <v>4.59999999999991</v>
      </c>
      <c r="W2597" s="34">
        <f t="shared" si="292"/>
        <v>0</v>
      </c>
      <c r="X2597" s="34"/>
      <c r="Y2597" s="32">
        <f t="shared" si="293"/>
        <v>0</v>
      </c>
      <c r="Z2597" s="59">
        <f t="shared" si="294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ht="14.25" spans="1:34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3138</v>
      </c>
      <c r="I2598" s="20" t="s">
        <v>108</v>
      </c>
      <c r="J2598" s="20"/>
      <c r="K2598" s="20"/>
      <c r="L2598" s="58" t="s">
        <v>3139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1"/>
        <v>2</v>
      </c>
      <c r="W2598" s="34">
        <f t="shared" si="292"/>
        <v>0</v>
      </c>
      <c r="X2598" s="34"/>
      <c r="Y2598" s="32">
        <f t="shared" si="293"/>
        <v>0</v>
      </c>
      <c r="Z2598" s="59">
        <f t="shared" si="294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ht="14.25" spans="1:34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3126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1"/>
        <v>2931.72</v>
      </c>
      <c r="W2599" s="34">
        <f t="shared" si="292"/>
        <v>0</v>
      </c>
      <c r="X2599" s="34"/>
      <c r="Y2599" s="32">
        <f t="shared" si="293"/>
        <v>0</v>
      </c>
      <c r="Z2599" s="59">
        <f t="shared" si="294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ht="14.25" spans="1:34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3126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1"/>
        <v>1629.48</v>
      </c>
      <c r="W2600" s="34">
        <f t="shared" si="292"/>
        <v>0</v>
      </c>
      <c r="X2600" s="34"/>
      <c r="Y2600" s="32">
        <f t="shared" si="293"/>
        <v>0</v>
      </c>
      <c r="Z2600" s="59">
        <f t="shared" si="294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ht="14.25" spans="1:34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3118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1"/>
        <v>14688</v>
      </c>
      <c r="W2601" s="34">
        <f t="shared" si="292"/>
        <v>0</v>
      </c>
      <c r="X2601" s="34"/>
      <c r="Y2601" s="32">
        <f t="shared" si="293"/>
        <v>0</v>
      </c>
      <c r="Z2601" s="59">
        <f t="shared" si="294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ht="14.25" spans="1:34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3115</v>
      </c>
      <c r="I2602" s="20" t="s">
        <v>108</v>
      </c>
      <c r="J2602" s="20" t="s">
        <v>3116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1"/>
        <v>-1382.2</v>
      </c>
      <c r="W2602" s="34">
        <f t="shared" si="292"/>
        <v>0</v>
      </c>
      <c r="X2602" s="34"/>
      <c r="Y2602" s="32">
        <f t="shared" si="293"/>
        <v>0</v>
      </c>
      <c r="Z2602" s="59">
        <f t="shared" si="294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ht="14.25" spans="1:34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3137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1"/>
        <v>15770</v>
      </c>
      <c r="W2603" s="34">
        <f t="shared" si="292"/>
        <v>0</v>
      </c>
      <c r="X2603" s="34"/>
      <c r="Y2603" s="32">
        <f t="shared" si="293"/>
        <v>0</v>
      </c>
      <c r="Z2603" s="59">
        <f t="shared" si="294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ht="14.25" spans="1:34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1843</v>
      </c>
      <c r="F2604" s="51" t="s">
        <v>1843</v>
      </c>
      <c r="G2604" s="51" t="s">
        <v>1843</v>
      </c>
      <c r="H2604" s="51" t="s">
        <v>3137</v>
      </c>
      <c r="I2604" s="20" t="s">
        <v>108</v>
      </c>
      <c r="J2604" s="20"/>
      <c r="K2604" s="20"/>
      <c r="L2604" s="58" t="s">
        <v>1843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1"/>
        <v>2692</v>
      </c>
      <c r="W2604" s="34">
        <f t="shared" si="292"/>
        <v>0</v>
      </c>
      <c r="X2604" s="34"/>
      <c r="Y2604" s="32">
        <f t="shared" si="293"/>
        <v>0</v>
      </c>
      <c r="Z2604" s="59">
        <f t="shared" si="294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ht="14.25" spans="1:34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3140</v>
      </c>
      <c r="I2605" s="20" t="s">
        <v>108</v>
      </c>
      <c r="J2605" s="20" t="s">
        <v>3141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3142</v>
      </c>
      <c r="S2605" s="59">
        <v>7001.6</v>
      </c>
      <c r="T2605" s="59">
        <v>11868.5</v>
      </c>
      <c r="U2605" s="59">
        <v>0</v>
      </c>
      <c r="V2605" s="59">
        <f t="shared" si="291"/>
        <v>18870.1</v>
      </c>
      <c r="W2605" s="34">
        <f t="shared" si="292"/>
        <v>0</v>
      </c>
      <c r="X2605" s="34"/>
      <c r="Y2605" s="32">
        <f t="shared" si="293"/>
        <v>0</v>
      </c>
      <c r="Z2605" s="59">
        <f t="shared" si="294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ht="14.25" spans="1:34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3143</v>
      </c>
      <c r="F2606" s="51" t="s">
        <v>3143</v>
      </c>
      <c r="G2606" s="51" t="s">
        <v>3143</v>
      </c>
      <c r="H2606" s="51" t="s">
        <v>2844</v>
      </c>
      <c r="I2606" s="20" t="s">
        <v>2845</v>
      </c>
      <c r="J2606" s="20" t="s">
        <v>2846</v>
      </c>
      <c r="K2606" s="20" t="str">
        <f>VLOOKUP(H2606,[1]媒体表!C:T,18,0)</f>
        <v>北京多彩</v>
      </c>
      <c r="L2606" s="51" t="s">
        <v>3144</v>
      </c>
      <c r="M2606" s="51"/>
      <c r="N2606" s="51" t="s">
        <v>3092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2"/>
        <v>143000</v>
      </c>
      <c r="X2606" s="34"/>
      <c r="Y2606" s="32">
        <f t="shared" si="293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ht="14.25" spans="1:34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2844</v>
      </c>
      <c r="I2607" s="20" t="s">
        <v>2845</v>
      </c>
      <c r="J2607" s="20" t="s">
        <v>2846</v>
      </c>
      <c r="K2607" s="20" t="str">
        <f>VLOOKUP(H2607,[1]媒体表!C:T,18,0)</f>
        <v>北京多彩</v>
      </c>
      <c r="L2607" s="51" t="s">
        <v>2105</v>
      </c>
      <c r="M2607" s="51"/>
      <c r="N2607" s="51" t="s">
        <v>3092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3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ht="14.25" spans="1:34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2844</v>
      </c>
      <c r="I2608" s="20" t="s">
        <v>2845</v>
      </c>
      <c r="J2608" s="20" t="s">
        <v>2846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3092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5">IF(O2608="返货",U2608/(1+P2608),IF(O2608="返现",U2608,IF(O2608="折扣",U2608*P2608,IF(O2608="无",U2608))))</f>
        <v>747000</v>
      </c>
      <c r="X2608" s="34"/>
      <c r="Y2608" s="32">
        <f t="shared" si="293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ht="14.25" spans="1:34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2844</v>
      </c>
      <c r="I2609" s="20" t="s">
        <v>2845</v>
      </c>
      <c r="J2609" s="20" t="s">
        <v>2846</v>
      </c>
      <c r="K2609" s="20" t="str">
        <f>VLOOKUP(H2609,[1]媒体表!C:T,18,0)</f>
        <v>北京多彩</v>
      </c>
      <c r="L2609" s="51" t="s">
        <v>2919</v>
      </c>
      <c r="M2609" s="51"/>
      <c r="N2609" s="51" t="s">
        <v>3092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5"/>
        <v>360000</v>
      </c>
      <c r="X2609" s="34"/>
      <c r="Y2609" s="32">
        <f t="shared" si="293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ht="14.25" spans="1:34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3145</v>
      </c>
      <c r="G2610" s="51" t="s">
        <v>544</v>
      </c>
      <c r="H2610" s="51" t="s">
        <v>2844</v>
      </c>
      <c r="I2610" s="20" t="s">
        <v>2845</v>
      </c>
      <c r="J2610" s="20" t="s">
        <v>2846</v>
      </c>
      <c r="K2610" s="20" t="str">
        <f>VLOOKUP(H2610,[1]媒体表!C:T,18,0)</f>
        <v>北京多彩</v>
      </c>
      <c r="L2610" s="51" t="s">
        <v>3146</v>
      </c>
      <c r="M2610" s="51"/>
      <c r="N2610" s="51" t="s">
        <v>3092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5"/>
        <v>168400</v>
      </c>
      <c r="X2610" s="34"/>
      <c r="Y2610" s="32">
        <f t="shared" si="293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ht="14.25" spans="1:34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3147</v>
      </c>
      <c r="F2611" s="51" t="s">
        <v>3147</v>
      </c>
      <c r="G2611" s="51" t="s">
        <v>3147</v>
      </c>
      <c r="H2611" s="51" t="s">
        <v>2844</v>
      </c>
      <c r="I2611" s="20" t="s">
        <v>2845</v>
      </c>
      <c r="J2611" s="20" t="s">
        <v>2846</v>
      </c>
      <c r="K2611" s="20" t="str">
        <f>VLOOKUP(H2611,[1]媒体表!C:T,18,0)</f>
        <v>北京多彩</v>
      </c>
      <c r="L2611" s="51" t="s">
        <v>3147</v>
      </c>
      <c r="M2611" s="51"/>
      <c r="N2611" s="51" t="s">
        <v>3092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5"/>
        <v>47400</v>
      </c>
      <c r="X2611" s="59"/>
      <c r="Y2611" s="32">
        <f t="shared" si="293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ht="14.25" spans="1:34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2844</v>
      </c>
      <c r="I2612" s="20" t="s">
        <v>2845</v>
      </c>
      <c r="J2612" s="20" t="s">
        <v>2846</v>
      </c>
      <c r="K2612" s="20" t="str">
        <f>VLOOKUP(H2612,[1]媒体表!C:T,18,0)</f>
        <v>北京多彩</v>
      </c>
      <c r="L2612" s="51" t="s">
        <v>2870</v>
      </c>
      <c r="M2612" s="51"/>
      <c r="N2612" s="51" t="s">
        <v>3092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5"/>
        <v>325500</v>
      </c>
      <c r="X2612" s="59"/>
      <c r="Y2612" s="32">
        <f t="shared" si="293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ht="14.25" spans="1:34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1892</v>
      </c>
      <c r="F2613" s="62" t="s">
        <v>1893</v>
      </c>
      <c r="G2613" s="62" t="s">
        <v>1892</v>
      </c>
      <c r="H2613" s="62" t="s">
        <v>3148</v>
      </c>
      <c r="I2613" s="20" t="s">
        <v>108</v>
      </c>
      <c r="J2613" s="20" t="s">
        <v>3149</v>
      </c>
      <c r="K2613" s="20" t="str">
        <f>VLOOKUP(H2613,[1]媒体表!C:T,18,0)</f>
        <v>北京多彩</v>
      </c>
      <c r="L2613" s="62" t="s">
        <v>1892</v>
      </c>
      <c r="M2613" s="62"/>
      <c r="N2613" s="62" t="s">
        <v>3092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5"/>
        <v>470000</v>
      </c>
      <c r="X2613" s="65"/>
      <c r="Y2613" s="32">
        <f t="shared" si="293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3150</v>
      </c>
      <c r="AF2613" s="62" t="s">
        <v>44</v>
      </c>
      <c r="AG2613" s="63">
        <v>0</v>
      </c>
      <c r="AH2613" s="38" t="e">
        <v>#N/A</v>
      </c>
    </row>
    <row r="2614" ht="14.25" spans="1:34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2874</v>
      </c>
      <c r="F2614" s="51" t="s">
        <v>2874</v>
      </c>
      <c r="G2614" s="51" t="s">
        <v>2874</v>
      </c>
      <c r="H2614" s="51" t="s">
        <v>2844</v>
      </c>
      <c r="I2614" s="20" t="s">
        <v>2845</v>
      </c>
      <c r="J2614" s="20" t="s">
        <v>2846</v>
      </c>
      <c r="K2614" s="20" t="str">
        <f>VLOOKUP(H2614,[1]媒体表!C:T,18,0)</f>
        <v>北京多彩</v>
      </c>
      <c r="L2614" s="51" t="s">
        <v>2874</v>
      </c>
      <c r="M2614" s="51"/>
      <c r="N2614" s="51" t="s">
        <v>3092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5"/>
        <v>280000</v>
      </c>
      <c r="X2614" s="59"/>
      <c r="Y2614" s="32">
        <f t="shared" si="293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ht="14.25" spans="1:34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2159</v>
      </c>
      <c r="F2615" s="51" t="s">
        <v>2160</v>
      </c>
      <c r="G2615" s="51" t="s">
        <v>2159</v>
      </c>
      <c r="H2615" s="51" t="s">
        <v>1999</v>
      </c>
      <c r="I2615" s="20" t="s">
        <v>2000</v>
      </c>
      <c r="J2615" s="20" t="s">
        <v>2001</v>
      </c>
      <c r="K2615" s="20" t="str">
        <f>VLOOKUP(H2615,[1]媒体表!C:T,18,0)</f>
        <v>北京多彩</v>
      </c>
      <c r="L2615" s="51" t="s">
        <v>2159</v>
      </c>
      <c r="M2615" s="51"/>
      <c r="N2615" s="51" t="s">
        <v>3099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5"/>
        <v>54320</v>
      </c>
      <c r="X2615" s="32"/>
      <c r="Y2615" s="32">
        <f t="shared" si="293"/>
        <v>54320</v>
      </c>
      <c r="Z2615" s="55">
        <f t="shared" ref="Z2615:Z2678" si="296">U2615-W2615</f>
        <v>0</v>
      </c>
      <c r="AA2615" s="59">
        <v>54320</v>
      </c>
      <c r="AB2615" s="58">
        <v>0.065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ht="14.25" spans="1:34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1999</v>
      </c>
      <c r="I2616" s="20" t="s">
        <v>2000</v>
      </c>
      <c r="J2616" s="20" t="s">
        <v>2001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3099</v>
      </c>
      <c r="O2616" s="51" t="s">
        <v>82</v>
      </c>
      <c r="P2616" s="58">
        <v>0</v>
      </c>
      <c r="Q2616" s="53"/>
      <c r="R2616" s="51" t="s">
        <v>3151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5"/>
        <v>68760</v>
      </c>
      <c r="X2616" s="32"/>
      <c r="Y2616" s="32">
        <f t="shared" si="293"/>
        <v>68760</v>
      </c>
      <c r="Z2616" s="55">
        <f t="shared" si="296"/>
        <v>0</v>
      </c>
      <c r="AA2616" s="59">
        <f>68760-4422-29211.2</f>
        <v>35126.8</v>
      </c>
      <c r="AB2616" s="58">
        <v>0.065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ht="14.25" spans="1:34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2636</v>
      </c>
      <c r="F2617" s="51" t="s">
        <v>2636</v>
      </c>
      <c r="G2617" s="51" t="s">
        <v>2636</v>
      </c>
      <c r="H2617" s="51" t="s">
        <v>1999</v>
      </c>
      <c r="I2617" s="20" t="s">
        <v>2000</v>
      </c>
      <c r="J2617" s="20" t="s">
        <v>2001</v>
      </c>
      <c r="K2617" s="20" t="str">
        <f>VLOOKUP(H2617,[1]媒体表!C:T,18,0)</f>
        <v>北京多彩</v>
      </c>
      <c r="L2617" s="51" t="s">
        <v>2636</v>
      </c>
      <c r="M2617" s="51"/>
      <c r="N2617" s="51" t="s">
        <v>3099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5"/>
        <v>135431</v>
      </c>
      <c r="X2617" s="32"/>
      <c r="Y2617" s="32">
        <f t="shared" si="293"/>
        <v>135431</v>
      </c>
      <c r="Z2617" s="55">
        <f t="shared" si="296"/>
        <v>0</v>
      </c>
      <c r="AA2617" s="59">
        <v>133877</v>
      </c>
      <c r="AB2617" s="58">
        <v>0.065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ht="14.25" spans="1:34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3152</v>
      </c>
      <c r="G2618" s="51" t="s">
        <v>1055</v>
      </c>
      <c r="H2618" s="51" t="s">
        <v>3153</v>
      </c>
      <c r="I2618" s="20" t="s">
        <v>2000</v>
      </c>
      <c r="J2618" s="20" t="s">
        <v>3154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7">S2618+T2618-U2618</f>
        <v>-832356.7</v>
      </c>
      <c r="W2618" s="32">
        <f t="shared" si="295"/>
        <v>6510319.5</v>
      </c>
      <c r="X2618" s="32">
        <v>220000</v>
      </c>
      <c r="Y2618" s="32">
        <f t="shared" si="293"/>
        <v>6730319.5</v>
      </c>
      <c r="Z2618" s="55">
        <f t="shared" si="296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ht="14.25" spans="1:34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3155</v>
      </c>
      <c r="F2619" s="51" t="s">
        <v>3155</v>
      </c>
      <c r="G2619" s="51" t="s">
        <v>3155</v>
      </c>
      <c r="H2619" s="51" t="s">
        <v>3156</v>
      </c>
      <c r="I2619" s="20" t="s">
        <v>108</v>
      </c>
      <c r="J2619" s="20" t="s">
        <v>3157</v>
      </c>
      <c r="K2619" s="20" t="str">
        <f>VLOOKUP(H2619,[1]媒体表!C:T,18,0)</f>
        <v>北京多彩</v>
      </c>
      <c r="L2619" s="58" t="s">
        <v>3158</v>
      </c>
      <c r="M2619" s="51"/>
      <c r="N2619" s="51" t="s">
        <v>42</v>
      </c>
      <c r="O2619" s="59" t="s">
        <v>82</v>
      </c>
      <c r="P2619" s="58">
        <v>0</v>
      </c>
      <c r="Q2619" s="61" t="s">
        <v>3159</v>
      </c>
      <c r="R2619" s="59"/>
      <c r="S2619" s="59">
        <v>6117.08</v>
      </c>
      <c r="T2619" s="59"/>
      <c r="U2619" s="59">
        <v>2394.79</v>
      </c>
      <c r="V2619" s="59">
        <f t="shared" si="297"/>
        <v>3722.29</v>
      </c>
      <c r="W2619" s="32">
        <f t="shared" si="295"/>
        <v>2394.79</v>
      </c>
      <c r="X2619" s="32"/>
      <c r="Y2619" s="32">
        <f t="shared" si="293"/>
        <v>2394.79</v>
      </c>
      <c r="Z2619" s="55">
        <f t="shared" si="296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ht="14.25" spans="1:34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3160</v>
      </c>
      <c r="F2620" s="51" t="s">
        <v>3160</v>
      </c>
      <c r="G2620" s="51" t="s">
        <v>3160</v>
      </c>
      <c r="H2620" s="51" t="s">
        <v>3156</v>
      </c>
      <c r="I2620" s="20" t="s">
        <v>108</v>
      </c>
      <c r="J2620" s="20" t="s">
        <v>3157</v>
      </c>
      <c r="K2620" s="20" t="str">
        <f>VLOOKUP(H2620,[1]媒体表!C:T,18,0)</f>
        <v>北京多彩</v>
      </c>
      <c r="L2620" s="58" t="s">
        <v>3161</v>
      </c>
      <c r="M2620" s="51"/>
      <c r="N2620" s="51" t="s">
        <v>42</v>
      </c>
      <c r="O2620" s="59" t="s">
        <v>82</v>
      </c>
      <c r="P2620" s="58">
        <v>0</v>
      </c>
      <c r="Q2620" s="61" t="s">
        <v>3162</v>
      </c>
      <c r="R2620" s="59"/>
      <c r="S2620" s="59">
        <v>36819.41</v>
      </c>
      <c r="T2620" s="59"/>
      <c r="U2620" s="59">
        <v>0</v>
      </c>
      <c r="V2620" s="59">
        <f t="shared" si="297"/>
        <v>36819.41</v>
      </c>
      <c r="W2620" s="32">
        <f t="shared" si="295"/>
        <v>0</v>
      </c>
      <c r="X2620" s="32"/>
      <c r="Y2620" s="32">
        <f t="shared" si="293"/>
        <v>0</v>
      </c>
      <c r="Z2620" s="55">
        <f t="shared" si="296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ht="14.25" spans="1:34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3163</v>
      </c>
      <c r="F2621" s="51" t="s">
        <v>3163</v>
      </c>
      <c r="G2621" s="51" t="s">
        <v>3163</v>
      </c>
      <c r="H2621" s="51" t="s">
        <v>3156</v>
      </c>
      <c r="I2621" s="20" t="s">
        <v>108</v>
      </c>
      <c r="J2621" s="20" t="s">
        <v>3157</v>
      </c>
      <c r="K2621" s="20" t="str">
        <f>VLOOKUP(H2621,[1]媒体表!C:T,18,0)</f>
        <v>北京多彩</v>
      </c>
      <c r="L2621" s="58" t="s">
        <v>3163</v>
      </c>
      <c r="M2621" s="51"/>
      <c r="N2621" s="51" t="s">
        <v>42</v>
      </c>
      <c r="O2621" s="59" t="s">
        <v>43</v>
      </c>
      <c r="P2621" s="58">
        <v>0.03</v>
      </c>
      <c r="Q2621" s="61" t="s">
        <v>3164</v>
      </c>
      <c r="R2621" s="59"/>
      <c r="S2621" s="59">
        <v>-8540.57</v>
      </c>
      <c r="T2621" s="59"/>
      <c r="U2621" s="59">
        <v>0</v>
      </c>
      <c r="V2621" s="59">
        <f t="shared" si="297"/>
        <v>-8540.57</v>
      </c>
      <c r="W2621" s="32">
        <f t="shared" si="295"/>
        <v>0</v>
      </c>
      <c r="X2621" s="32"/>
      <c r="Y2621" s="32">
        <f t="shared" si="293"/>
        <v>0</v>
      </c>
      <c r="Z2621" s="55">
        <f t="shared" si="296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ht="14.25" spans="1:34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3158</v>
      </c>
      <c r="F2622" s="51" t="s">
        <v>3158</v>
      </c>
      <c r="G2622" s="51" t="s">
        <v>3158</v>
      </c>
      <c r="H2622" s="51" t="s">
        <v>3156</v>
      </c>
      <c r="I2622" s="20" t="s">
        <v>108</v>
      </c>
      <c r="J2622" s="20" t="s">
        <v>3157</v>
      </c>
      <c r="K2622" s="20" t="str">
        <f>VLOOKUP(H2622,[1]媒体表!C:T,18,0)</f>
        <v>北京多彩</v>
      </c>
      <c r="L2622" s="58" t="s">
        <v>3158</v>
      </c>
      <c r="M2622" s="51"/>
      <c r="N2622" s="51" t="s">
        <v>42</v>
      </c>
      <c r="O2622" s="59" t="s">
        <v>43</v>
      </c>
      <c r="P2622" s="58">
        <v>0.02</v>
      </c>
      <c r="Q2622" s="61" t="s">
        <v>3159</v>
      </c>
      <c r="R2622" s="59"/>
      <c r="S2622" s="59">
        <v>7103.19</v>
      </c>
      <c r="T2622" s="59"/>
      <c r="U2622" s="59">
        <v>0</v>
      </c>
      <c r="V2622" s="59">
        <f t="shared" si="297"/>
        <v>7103.19</v>
      </c>
      <c r="W2622" s="32">
        <f t="shared" si="295"/>
        <v>0</v>
      </c>
      <c r="X2622" s="32"/>
      <c r="Y2622" s="32">
        <f t="shared" si="293"/>
        <v>0</v>
      </c>
      <c r="Z2622" s="55">
        <f t="shared" si="296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ht="14.25" spans="1:34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3165</v>
      </c>
      <c r="F2623" s="51" t="s">
        <v>3165</v>
      </c>
      <c r="G2623" s="51" t="s">
        <v>3165</v>
      </c>
      <c r="H2623" s="51" t="s">
        <v>3156</v>
      </c>
      <c r="I2623" s="20" t="s">
        <v>108</v>
      </c>
      <c r="J2623" s="20" t="s">
        <v>3157</v>
      </c>
      <c r="K2623" s="20" t="str">
        <f>VLOOKUP(H2623,[1]媒体表!C:T,18,0)</f>
        <v>北京多彩</v>
      </c>
      <c r="L2623" s="58" t="s">
        <v>3165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7"/>
        <v>62013.87</v>
      </c>
      <c r="W2623" s="32">
        <f t="shared" si="295"/>
        <v>0</v>
      </c>
      <c r="X2623" s="32"/>
      <c r="Y2623" s="32">
        <f t="shared" si="293"/>
        <v>0</v>
      </c>
      <c r="Z2623" s="55">
        <f t="shared" si="296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ht="14.25" spans="1:34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3166</v>
      </c>
      <c r="F2624" s="51" t="s">
        <v>3166</v>
      </c>
      <c r="G2624" s="51" t="s">
        <v>3166</v>
      </c>
      <c r="H2624" s="51" t="s">
        <v>3156</v>
      </c>
      <c r="I2624" s="20" t="s">
        <v>108</v>
      </c>
      <c r="J2624" s="20" t="s">
        <v>3157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-80.6899999999999</v>
      </c>
      <c r="T2624" s="59"/>
      <c r="U2624" s="59">
        <v>0</v>
      </c>
      <c r="V2624" s="59">
        <f t="shared" si="297"/>
        <v>-80.6899999999999</v>
      </c>
      <c r="W2624" s="32">
        <f t="shared" si="295"/>
        <v>0</v>
      </c>
      <c r="X2624" s="32"/>
      <c r="Y2624" s="32">
        <f t="shared" si="293"/>
        <v>0</v>
      </c>
      <c r="Z2624" s="55">
        <f t="shared" si="296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ht="14.25" spans="1:34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3167</v>
      </c>
      <c r="F2625" s="51" t="s">
        <v>3167</v>
      </c>
      <c r="G2625" s="51" t="s">
        <v>3167</v>
      </c>
      <c r="H2625" s="51" t="s">
        <v>3156</v>
      </c>
      <c r="I2625" s="20" t="s">
        <v>108</v>
      </c>
      <c r="J2625" s="20" t="s">
        <v>3157</v>
      </c>
      <c r="K2625" s="20" t="str">
        <f>VLOOKUP(H2625,[1]媒体表!C:T,18,0)</f>
        <v>北京多彩</v>
      </c>
      <c r="L2625" s="58" t="s">
        <v>3167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7"/>
        <v>138.31</v>
      </c>
      <c r="W2625" s="32">
        <f t="shared" si="295"/>
        <v>0</v>
      </c>
      <c r="X2625" s="32"/>
      <c r="Y2625" s="32">
        <f t="shared" si="293"/>
        <v>0</v>
      </c>
      <c r="Z2625" s="55">
        <f t="shared" si="296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ht="14.25" spans="1:34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3167</v>
      </c>
      <c r="F2626" s="51" t="s">
        <v>3167</v>
      </c>
      <c r="G2626" s="51" t="s">
        <v>3167</v>
      </c>
      <c r="H2626" s="51" t="s">
        <v>3156</v>
      </c>
      <c r="I2626" s="20" t="s">
        <v>108</v>
      </c>
      <c r="J2626" s="20" t="s">
        <v>3157</v>
      </c>
      <c r="K2626" s="20" t="str">
        <f>VLOOKUP(H2626,[1]媒体表!C:T,18,0)</f>
        <v>北京多彩</v>
      </c>
      <c r="L2626" s="58" t="s">
        <v>3167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7"/>
        <v>-146.72</v>
      </c>
      <c r="W2626" s="32">
        <f t="shared" si="295"/>
        <v>0</v>
      </c>
      <c r="X2626" s="32"/>
      <c r="Y2626" s="32">
        <f t="shared" si="293"/>
        <v>0</v>
      </c>
      <c r="Z2626" s="55">
        <f t="shared" si="296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ht="14.25" spans="1:34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3163</v>
      </c>
      <c r="F2627" s="51" t="s">
        <v>3163</v>
      </c>
      <c r="G2627" s="51" t="s">
        <v>3163</v>
      </c>
      <c r="H2627" s="51" t="s">
        <v>3156</v>
      </c>
      <c r="I2627" s="20" t="s">
        <v>108</v>
      </c>
      <c r="J2627" s="20" t="s">
        <v>3157</v>
      </c>
      <c r="K2627" s="20" t="str">
        <f>VLOOKUP(H2627,[1]媒体表!C:T,18,0)</f>
        <v>北京多彩</v>
      </c>
      <c r="L2627" s="58" t="s">
        <v>3168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-1248.87</v>
      </c>
      <c r="T2627" s="59"/>
      <c r="U2627" s="59">
        <v>0</v>
      </c>
      <c r="V2627" s="59">
        <f t="shared" si="297"/>
        <v>-1248.87</v>
      </c>
      <c r="W2627" s="32">
        <f t="shared" si="295"/>
        <v>0</v>
      </c>
      <c r="X2627" s="32"/>
      <c r="Y2627" s="32">
        <f t="shared" si="293"/>
        <v>0</v>
      </c>
      <c r="Z2627" s="55">
        <f t="shared" si="296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ht="14.25" spans="1:34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2741</v>
      </c>
      <c r="F2628" s="51" t="s">
        <v>2741</v>
      </c>
      <c r="G2628" s="51" t="s">
        <v>2741</v>
      </c>
      <c r="H2628" s="51" t="s">
        <v>3156</v>
      </c>
      <c r="I2628" s="20" t="s">
        <v>108</v>
      </c>
      <c r="J2628" s="20" t="s">
        <v>3157</v>
      </c>
      <c r="K2628" s="20" t="str">
        <f>VLOOKUP(H2628,[1]媒体表!C:T,18,0)</f>
        <v>北京多彩</v>
      </c>
      <c r="L2628" s="58" t="s">
        <v>2741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</v>
      </c>
      <c r="T2628" s="59"/>
      <c r="U2628" s="59">
        <v>0</v>
      </c>
      <c r="V2628" s="59">
        <f t="shared" si="297"/>
        <v>8334.62</v>
      </c>
      <c r="W2628" s="32">
        <f t="shared" si="295"/>
        <v>0</v>
      </c>
      <c r="X2628" s="32"/>
      <c r="Y2628" s="32">
        <f t="shared" si="293"/>
        <v>0</v>
      </c>
      <c r="Z2628" s="55">
        <f t="shared" si="296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ht="14.25" spans="1:34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3169</v>
      </c>
      <c r="F2629" s="51" t="s">
        <v>3169</v>
      </c>
      <c r="G2629" s="51" t="s">
        <v>3169</v>
      </c>
      <c r="H2629" s="51" t="s">
        <v>3156</v>
      </c>
      <c r="I2629" s="20" t="s">
        <v>108</v>
      </c>
      <c r="J2629" s="20" t="s">
        <v>3157</v>
      </c>
      <c r="K2629" s="20" t="str">
        <f>VLOOKUP(H2629,[1]媒体表!C:T,18,0)</f>
        <v>北京多彩</v>
      </c>
      <c r="L2629" s="58" t="s">
        <v>3169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7"/>
        <v>-30949.5</v>
      </c>
      <c r="W2629" s="32">
        <f t="shared" si="295"/>
        <v>0</v>
      </c>
      <c r="X2629" s="32"/>
      <c r="Y2629" s="32">
        <f t="shared" si="293"/>
        <v>0</v>
      </c>
      <c r="Z2629" s="55">
        <f t="shared" si="296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ht="14.25" spans="1:34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3156</v>
      </c>
      <c r="I2630" s="20" t="s">
        <v>108</v>
      </c>
      <c r="J2630" s="20" t="s">
        <v>3157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7"/>
        <v>-140.31</v>
      </c>
      <c r="W2630" s="32">
        <f t="shared" si="295"/>
        <v>0</v>
      </c>
      <c r="X2630" s="32"/>
      <c r="Y2630" s="32">
        <f t="shared" si="293"/>
        <v>0</v>
      </c>
      <c r="Z2630" s="55">
        <f t="shared" si="296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ht="14.25" spans="1:34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1891</v>
      </c>
      <c r="F2631" s="51" t="s">
        <v>1891</v>
      </c>
      <c r="G2631" s="51" t="s">
        <v>1891</v>
      </c>
      <c r="H2631" s="51" t="s">
        <v>3156</v>
      </c>
      <c r="I2631" s="20" t="s">
        <v>108</v>
      </c>
      <c r="J2631" s="20" t="s">
        <v>3157</v>
      </c>
      <c r="K2631" s="20" t="str">
        <f>VLOOKUP(H2631,[1]媒体表!C:T,18,0)</f>
        <v>北京多彩</v>
      </c>
      <c r="L2631" s="58" t="s">
        <v>3170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7"/>
        <v>-16010.42</v>
      </c>
      <c r="W2631" s="32">
        <f t="shared" si="295"/>
        <v>0</v>
      </c>
      <c r="X2631" s="32"/>
      <c r="Y2631" s="32">
        <f t="shared" si="293"/>
        <v>0</v>
      </c>
      <c r="Z2631" s="55">
        <f t="shared" si="296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ht="14.25" spans="1:34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3075</v>
      </c>
      <c r="F2632" s="51" t="s">
        <v>3075</v>
      </c>
      <c r="G2632" s="51" t="s">
        <v>3075</v>
      </c>
      <c r="H2632" s="51" t="s">
        <v>3156</v>
      </c>
      <c r="I2632" s="20" t="s">
        <v>108</v>
      </c>
      <c r="J2632" s="20" t="s">
        <v>3157</v>
      </c>
      <c r="K2632" s="20" t="str">
        <f>VLOOKUP(H2632,[1]媒体表!C:T,18,0)</f>
        <v>北京多彩</v>
      </c>
      <c r="L2632" s="58" t="s">
        <v>3075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</v>
      </c>
      <c r="T2632" s="59"/>
      <c r="U2632" s="59">
        <v>0</v>
      </c>
      <c r="V2632" s="59">
        <f t="shared" si="297"/>
        <v>-29.3099999999995</v>
      </c>
      <c r="W2632" s="32">
        <f t="shared" si="295"/>
        <v>0</v>
      </c>
      <c r="X2632" s="32"/>
      <c r="Y2632" s="32">
        <f t="shared" si="293"/>
        <v>0</v>
      </c>
      <c r="Z2632" s="55">
        <f t="shared" si="296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ht="14.25" spans="1:34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3171</v>
      </c>
      <c r="F2633" s="51" t="s">
        <v>3171</v>
      </c>
      <c r="G2633" s="51" t="s">
        <v>3171</v>
      </c>
      <c r="H2633" s="51" t="s">
        <v>3156</v>
      </c>
      <c r="I2633" s="20" t="s">
        <v>108</v>
      </c>
      <c r="J2633" s="20" t="s">
        <v>3157</v>
      </c>
      <c r="K2633" s="20" t="str">
        <f>VLOOKUP(H2633,[1]媒体表!C:T,18,0)</f>
        <v>北京多彩</v>
      </c>
      <c r="L2633" s="58" t="s">
        <v>3172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7"/>
        <v>-1795.07</v>
      </c>
      <c r="W2633" s="32">
        <f t="shared" si="295"/>
        <v>0</v>
      </c>
      <c r="X2633" s="32"/>
      <c r="Y2633" s="32">
        <f t="shared" si="293"/>
        <v>0</v>
      </c>
      <c r="Z2633" s="55">
        <f t="shared" si="296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ht="14.25" spans="1:34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3173</v>
      </c>
      <c r="F2634" s="51" t="s">
        <v>3173</v>
      </c>
      <c r="G2634" s="51" t="s">
        <v>3173</v>
      </c>
      <c r="H2634" s="51" t="s">
        <v>3156</v>
      </c>
      <c r="I2634" s="20" t="s">
        <v>108</v>
      </c>
      <c r="J2634" s="20" t="s">
        <v>3157</v>
      </c>
      <c r="K2634" s="20" t="str">
        <f>VLOOKUP(H2634,[1]媒体表!C:T,18,0)</f>
        <v>北京多彩</v>
      </c>
      <c r="L2634" s="58" t="s">
        <v>3174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7"/>
        <v>-31611.21</v>
      </c>
      <c r="W2634" s="32">
        <f t="shared" si="295"/>
        <v>0</v>
      </c>
      <c r="X2634" s="32"/>
      <c r="Y2634" s="32">
        <f t="shared" si="293"/>
        <v>0</v>
      </c>
      <c r="Z2634" s="55">
        <f t="shared" si="296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ht="14.25" spans="1:34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3175</v>
      </c>
      <c r="F2635" s="51" t="s">
        <v>3175</v>
      </c>
      <c r="G2635" s="51" t="s">
        <v>3175</v>
      </c>
      <c r="H2635" s="51" t="s">
        <v>3156</v>
      </c>
      <c r="I2635" s="20" t="s">
        <v>108</v>
      </c>
      <c r="J2635" s="20" t="s">
        <v>3157</v>
      </c>
      <c r="K2635" s="20" t="str">
        <f>VLOOKUP(H2635,[1]媒体表!C:T,18,0)</f>
        <v>北京多彩</v>
      </c>
      <c r="L2635" s="58" t="s">
        <v>3175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7"/>
        <v>-7483.45</v>
      </c>
      <c r="W2635" s="32">
        <f t="shared" si="295"/>
        <v>0</v>
      </c>
      <c r="X2635" s="32"/>
      <c r="Y2635" s="32">
        <f t="shared" si="293"/>
        <v>0</v>
      </c>
      <c r="Z2635" s="55">
        <f t="shared" si="296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ht="14.25" spans="1:34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3152</v>
      </c>
      <c r="G2636" s="51" t="s">
        <v>1055</v>
      </c>
      <c r="H2636" s="51" t="s">
        <v>3153</v>
      </c>
      <c r="I2636" s="20" t="s">
        <v>2000</v>
      </c>
      <c r="J2636" s="20" t="s">
        <v>3154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125551.68</v>
      </c>
      <c r="V2636" s="59">
        <f t="shared" si="297"/>
        <v>-1855966.68</v>
      </c>
      <c r="W2636" s="32">
        <f t="shared" si="295"/>
        <v>125551.68</v>
      </c>
      <c r="X2636" s="32"/>
      <c r="Y2636" s="32">
        <f t="shared" si="293"/>
        <v>125551.68</v>
      </c>
      <c r="Z2636" s="55">
        <f t="shared" si="296"/>
        <v>0</v>
      </c>
      <c r="AA2636" s="59">
        <v>125551.68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ht="14.25" spans="1:34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3156</v>
      </c>
      <c r="I2637" s="20" t="s">
        <v>108</v>
      </c>
      <c r="J2637" s="20" t="s">
        <v>3157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7"/>
        <v>30116.23</v>
      </c>
      <c r="W2637" s="32">
        <f t="shared" si="295"/>
        <v>0</v>
      </c>
      <c r="X2637" s="32"/>
      <c r="Y2637" s="32">
        <f t="shared" si="293"/>
        <v>0</v>
      </c>
      <c r="Z2637" s="55">
        <f t="shared" si="296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ht="14.25" spans="1:34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3156</v>
      </c>
      <c r="I2638" s="20" t="s">
        <v>108</v>
      </c>
      <c r="J2638" s="20" t="s">
        <v>3157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7"/>
        <v>-48.75</v>
      </c>
      <c r="W2638" s="32">
        <f t="shared" si="295"/>
        <v>0</v>
      </c>
      <c r="X2638" s="32"/>
      <c r="Y2638" s="32">
        <f t="shared" si="293"/>
        <v>0</v>
      </c>
      <c r="Z2638" s="55">
        <f t="shared" si="296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ht="14.25" spans="1:34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2467</v>
      </c>
      <c r="F2639" s="51" t="s">
        <v>2467</v>
      </c>
      <c r="G2639" s="51" t="s">
        <v>2467</v>
      </c>
      <c r="H2639" s="51" t="s">
        <v>3156</v>
      </c>
      <c r="I2639" s="20" t="s">
        <v>108</v>
      </c>
      <c r="J2639" s="20" t="s">
        <v>3157</v>
      </c>
      <c r="K2639" s="20" t="str">
        <f>VLOOKUP(H2639,[1]媒体表!C:T,18,0)</f>
        <v>北京多彩</v>
      </c>
      <c r="L2639" s="58" t="s">
        <v>2467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7"/>
        <v>-240.69</v>
      </c>
      <c r="W2639" s="32">
        <f t="shared" si="295"/>
        <v>0</v>
      </c>
      <c r="X2639" s="32"/>
      <c r="Y2639" s="32">
        <f t="shared" si="293"/>
        <v>0</v>
      </c>
      <c r="Z2639" s="55">
        <f t="shared" si="296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ht="14.25" spans="1:34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1843</v>
      </c>
      <c r="F2640" s="51" t="s">
        <v>1843</v>
      </c>
      <c r="G2640" s="51" t="s">
        <v>1843</v>
      </c>
      <c r="H2640" s="51" t="s">
        <v>3156</v>
      </c>
      <c r="I2640" s="20" t="s">
        <v>108</v>
      </c>
      <c r="J2640" s="20" t="s">
        <v>3157</v>
      </c>
      <c r="K2640" s="20" t="str">
        <f>VLOOKUP(H2640,[1]媒体表!C:T,18,0)</f>
        <v>北京多彩</v>
      </c>
      <c r="L2640" s="58" t="s">
        <v>3176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7"/>
        <v>-53.53</v>
      </c>
      <c r="W2640" s="32">
        <f t="shared" si="295"/>
        <v>0</v>
      </c>
      <c r="X2640" s="32"/>
      <c r="Y2640" s="32">
        <f t="shared" si="293"/>
        <v>0</v>
      </c>
      <c r="Z2640" s="55">
        <f t="shared" si="296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ht="14.25" spans="1:34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3177</v>
      </c>
      <c r="F2641" s="51" t="s">
        <v>3178</v>
      </c>
      <c r="G2641" s="51" t="s">
        <v>3177</v>
      </c>
      <c r="H2641" s="51" t="s">
        <v>3156</v>
      </c>
      <c r="I2641" s="20" t="s">
        <v>108</v>
      </c>
      <c r="J2641" s="20" t="s">
        <v>3157</v>
      </c>
      <c r="K2641" s="20" t="str">
        <f>VLOOKUP(H2641,[1]媒体表!C:T,18,0)</f>
        <v>北京多彩</v>
      </c>
      <c r="L2641" s="58" t="s">
        <v>1867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7"/>
        <v>11376.98</v>
      </c>
      <c r="W2641" s="32">
        <f t="shared" si="295"/>
        <v>0</v>
      </c>
      <c r="X2641" s="32"/>
      <c r="Y2641" s="32">
        <f t="shared" si="293"/>
        <v>0</v>
      </c>
      <c r="Z2641" s="55">
        <f t="shared" si="296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ht="14.25" spans="1:34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3156</v>
      </c>
      <c r="I2642" s="20" t="s">
        <v>108</v>
      </c>
      <c r="J2642" s="20" t="s">
        <v>3157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7"/>
        <v>1567.27</v>
      </c>
      <c r="W2642" s="32">
        <f t="shared" si="295"/>
        <v>0</v>
      </c>
      <c r="X2642" s="32"/>
      <c r="Y2642" s="32">
        <f t="shared" si="293"/>
        <v>0</v>
      </c>
      <c r="Z2642" s="55">
        <f t="shared" si="296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ht="14.25" spans="1:34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2664</v>
      </c>
      <c r="F2643" s="51" t="s">
        <v>2664</v>
      </c>
      <c r="G2643" s="51" t="s">
        <v>2664</v>
      </c>
      <c r="H2643" s="51" t="s">
        <v>3156</v>
      </c>
      <c r="I2643" s="20" t="s">
        <v>108</v>
      </c>
      <c r="J2643" s="20" t="s">
        <v>3157</v>
      </c>
      <c r="K2643" s="20" t="str">
        <f>VLOOKUP(H2643,[1]媒体表!C:T,18,0)</f>
        <v>北京多彩</v>
      </c>
      <c r="L2643" s="58" t="s">
        <v>2664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7"/>
        <v>-76.92</v>
      </c>
      <c r="W2643" s="32">
        <f t="shared" si="295"/>
        <v>0</v>
      </c>
      <c r="X2643" s="32"/>
      <c r="Y2643" s="32">
        <f t="shared" si="293"/>
        <v>0</v>
      </c>
      <c r="Z2643" s="55">
        <f t="shared" si="296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ht="14.25" spans="1:34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3179</v>
      </c>
      <c r="F2644" s="51" t="s">
        <v>3179</v>
      </c>
      <c r="G2644" s="51" t="s">
        <v>3179</v>
      </c>
      <c r="H2644" s="51" t="s">
        <v>3156</v>
      </c>
      <c r="I2644" s="20" t="s">
        <v>108</v>
      </c>
      <c r="J2644" s="20" t="s">
        <v>3157</v>
      </c>
      <c r="K2644" s="20" t="str">
        <f>VLOOKUP(H2644,[1]媒体表!C:T,18,0)</f>
        <v>北京多彩</v>
      </c>
      <c r="L2644" s="58" t="s">
        <v>3180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7"/>
        <v>-6571.53</v>
      </c>
      <c r="W2644" s="32">
        <f t="shared" si="295"/>
        <v>0</v>
      </c>
      <c r="X2644" s="32"/>
      <c r="Y2644" s="32">
        <f t="shared" si="293"/>
        <v>0</v>
      </c>
      <c r="Z2644" s="55">
        <f t="shared" si="296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ht="14.25" spans="1:34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3156</v>
      </c>
      <c r="I2645" s="20" t="s">
        <v>108</v>
      </c>
      <c r="J2645" s="20" t="s">
        <v>3157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7"/>
        <v>-23.84</v>
      </c>
      <c r="W2645" s="32">
        <f t="shared" si="295"/>
        <v>0</v>
      </c>
      <c r="X2645" s="32"/>
      <c r="Y2645" s="32">
        <f t="shared" si="293"/>
        <v>0</v>
      </c>
      <c r="Z2645" s="55">
        <f t="shared" si="296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ht="14.25" spans="1:34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2089</v>
      </c>
      <c r="F2646" s="51" t="s">
        <v>2090</v>
      </c>
      <c r="G2646" s="51" t="s">
        <v>2089</v>
      </c>
      <c r="H2646" s="51" t="s">
        <v>3156</v>
      </c>
      <c r="I2646" s="20" t="s">
        <v>108</v>
      </c>
      <c r="J2646" s="20" t="s">
        <v>3157</v>
      </c>
      <c r="K2646" s="20" t="str">
        <f>VLOOKUP(H2646,[1]媒体表!C:T,18,0)</f>
        <v>北京多彩</v>
      </c>
      <c r="L2646" s="58" t="s">
        <v>2089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-64.3299999999999</v>
      </c>
      <c r="T2646" s="59"/>
      <c r="U2646" s="59">
        <v>0</v>
      </c>
      <c r="V2646" s="59">
        <f t="shared" si="297"/>
        <v>-64.3299999999999</v>
      </c>
      <c r="W2646" s="32">
        <f t="shared" si="295"/>
        <v>0</v>
      </c>
      <c r="X2646" s="32"/>
      <c r="Y2646" s="32">
        <f t="shared" si="293"/>
        <v>0</v>
      </c>
      <c r="Z2646" s="55">
        <f t="shared" si="296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ht="14.25" spans="1:34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3156</v>
      </c>
      <c r="I2647" s="20" t="s">
        <v>108</v>
      </c>
      <c r="J2647" s="20" t="s">
        <v>3157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3181</v>
      </c>
      <c r="R2647" s="59"/>
      <c r="S2647" s="59">
        <v>29772.05</v>
      </c>
      <c r="T2647" s="59"/>
      <c r="U2647" s="59">
        <v>0</v>
      </c>
      <c r="V2647" s="59">
        <f t="shared" si="297"/>
        <v>29772.05</v>
      </c>
      <c r="W2647" s="32">
        <f t="shared" si="295"/>
        <v>0</v>
      </c>
      <c r="X2647" s="32"/>
      <c r="Y2647" s="32">
        <f t="shared" si="293"/>
        <v>0</v>
      </c>
      <c r="Z2647" s="55">
        <f t="shared" si="296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ht="14.25" spans="1:34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2980</v>
      </c>
      <c r="G2648" s="51" t="s">
        <v>233</v>
      </c>
      <c r="H2648" s="51" t="s">
        <v>3156</v>
      </c>
      <c r="I2648" s="20" t="s">
        <v>108</v>
      </c>
      <c r="J2648" s="20" t="s">
        <v>3157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7"/>
        <v>18374.93</v>
      </c>
      <c r="W2648" s="32">
        <f t="shared" si="295"/>
        <v>0</v>
      </c>
      <c r="X2648" s="32"/>
      <c r="Y2648" s="32">
        <f t="shared" si="293"/>
        <v>0</v>
      </c>
      <c r="Z2648" s="55">
        <f t="shared" si="296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ht="14.25" spans="1:34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3156</v>
      </c>
      <c r="I2649" s="20" t="s">
        <v>108</v>
      </c>
      <c r="J2649" s="20" t="s">
        <v>3157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3182</v>
      </c>
      <c r="R2649" s="59"/>
      <c r="S2649" s="59">
        <v>8759.2</v>
      </c>
      <c r="T2649" s="59"/>
      <c r="U2649" s="59">
        <v>0</v>
      </c>
      <c r="V2649" s="59">
        <f t="shared" si="297"/>
        <v>8759.2</v>
      </c>
      <c r="W2649" s="32">
        <f t="shared" si="295"/>
        <v>0</v>
      </c>
      <c r="X2649" s="32"/>
      <c r="Y2649" s="32">
        <f t="shared" si="293"/>
        <v>0</v>
      </c>
      <c r="Z2649" s="55">
        <f t="shared" si="296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ht="14.25" spans="1:34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3152</v>
      </c>
      <c r="G2650" s="51" t="s">
        <v>1055</v>
      </c>
      <c r="H2650" s="51" t="s">
        <v>3153</v>
      </c>
      <c r="I2650" s="20" t="s">
        <v>2000</v>
      </c>
      <c r="J2650" s="20" t="s">
        <v>3154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3099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867279.95627817</v>
      </c>
      <c r="V2650" s="59">
        <f t="shared" si="297"/>
        <v>-867279.95627817</v>
      </c>
      <c r="W2650" s="32">
        <f t="shared" si="295"/>
        <v>867279.95627817</v>
      </c>
      <c r="X2650" s="32"/>
      <c r="Y2650" s="32">
        <f t="shared" ref="Y2650:Y2713" si="298">W2650+X2650</f>
        <v>867279.95627817</v>
      </c>
      <c r="Z2650" s="55">
        <f t="shared" si="296"/>
        <v>0</v>
      </c>
      <c r="AA2650" s="59">
        <v>867279.95627817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ht="14.25" spans="1:34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1999</v>
      </c>
      <c r="I2651" s="20" t="s">
        <v>2000</v>
      </c>
      <c r="J2651" s="20" t="s">
        <v>2001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3099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5"/>
        <v>56100</v>
      </c>
      <c r="X2651" s="32"/>
      <c r="Y2651" s="32">
        <f t="shared" si="298"/>
        <v>56100</v>
      </c>
      <c r="Z2651" s="55">
        <f t="shared" si="296"/>
        <v>0</v>
      </c>
      <c r="AA2651" s="59">
        <v>53856</v>
      </c>
      <c r="AB2651" s="58">
        <v>0.065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ht="14.25" spans="1:34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1706</v>
      </c>
      <c r="F2652" s="51" t="s">
        <v>1706</v>
      </c>
      <c r="G2652" s="51" t="s">
        <v>1706</v>
      </c>
      <c r="H2652" s="51" t="s">
        <v>1999</v>
      </c>
      <c r="I2652" s="20" t="s">
        <v>2000</v>
      </c>
      <c r="J2652" s="20" t="s">
        <v>2001</v>
      </c>
      <c r="K2652" s="20" t="str">
        <f>VLOOKUP(H2652,[1]媒体表!C:T,18,0)</f>
        <v>北京多彩</v>
      </c>
      <c r="L2652" s="51" t="s">
        <v>1706</v>
      </c>
      <c r="M2652" s="51"/>
      <c r="N2652" s="51" t="s">
        <v>3099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5"/>
        <v>75754</v>
      </c>
      <c r="X2652" s="32"/>
      <c r="Y2652" s="32">
        <f t="shared" si="298"/>
        <v>75754</v>
      </c>
      <c r="Z2652" s="55">
        <f t="shared" si="296"/>
        <v>0</v>
      </c>
      <c r="AA2652" s="59">
        <v>74208</v>
      </c>
      <c r="AB2652" s="58">
        <v>0.065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ht="14.25" spans="1:34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3155</v>
      </c>
      <c r="F2653" s="51" t="s">
        <v>3155</v>
      </c>
      <c r="G2653" s="51" t="s">
        <v>3155</v>
      </c>
      <c r="H2653" s="51" t="s">
        <v>3183</v>
      </c>
      <c r="I2653" s="20" t="s">
        <v>108</v>
      </c>
      <c r="J2653" s="20" t="s">
        <v>3184</v>
      </c>
      <c r="K2653" s="20" t="str">
        <f>VLOOKUP(H2653,[1]媒体表!C:T,18,0)</f>
        <v>北京多彩</v>
      </c>
      <c r="L2653" s="58" t="s">
        <v>3158</v>
      </c>
      <c r="M2653" s="51"/>
      <c r="N2653" s="51" t="s">
        <v>42</v>
      </c>
      <c r="O2653" s="59" t="s">
        <v>82</v>
      </c>
      <c r="P2653" s="58">
        <v>0</v>
      </c>
      <c r="Q2653" s="61" t="s">
        <v>3159</v>
      </c>
      <c r="R2653" s="59"/>
      <c r="S2653" s="59">
        <v>6117.08</v>
      </c>
      <c r="T2653" s="59"/>
      <c r="U2653" s="59">
        <v>1507.93</v>
      </c>
      <c r="V2653" s="59">
        <f t="shared" ref="V2653:V2663" si="299">S2653+T2653-U2653</f>
        <v>4609.15</v>
      </c>
      <c r="W2653" s="32">
        <f t="shared" si="295"/>
        <v>1507.93</v>
      </c>
      <c r="X2653" s="32"/>
      <c r="Y2653" s="32">
        <f t="shared" si="298"/>
        <v>1507.93</v>
      </c>
      <c r="Z2653" s="55">
        <f t="shared" si="296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ht="14.25" spans="1:34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3166</v>
      </c>
      <c r="F2654" s="51" t="s">
        <v>3166</v>
      </c>
      <c r="G2654" s="51" t="s">
        <v>3166</v>
      </c>
      <c r="H2654" s="51" t="s">
        <v>3183</v>
      </c>
      <c r="I2654" s="20" t="s">
        <v>108</v>
      </c>
      <c r="J2654" s="20" t="s">
        <v>3184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-80.6899999999999</v>
      </c>
      <c r="T2654" s="59"/>
      <c r="U2654" s="59">
        <v>4.99</v>
      </c>
      <c r="V2654" s="59">
        <f t="shared" si="299"/>
        <v>-85.6799999999999</v>
      </c>
      <c r="W2654" s="32">
        <f t="shared" si="295"/>
        <v>4.8921568627451</v>
      </c>
      <c r="X2654" s="32"/>
      <c r="Y2654" s="32">
        <f t="shared" si="298"/>
        <v>4.8921568627451</v>
      </c>
      <c r="Z2654" s="55">
        <f t="shared" si="296"/>
        <v>0.0978431372549018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ht="14.25" spans="1:34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2089</v>
      </c>
      <c r="F2655" s="51" t="s">
        <v>2090</v>
      </c>
      <c r="G2655" s="51" t="s">
        <v>2089</v>
      </c>
      <c r="H2655" s="51" t="s">
        <v>3183</v>
      </c>
      <c r="I2655" s="20" t="s">
        <v>108</v>
      </c>
      <c r="J2655" s="20" t="s">
        <v>3184</v>
      </c>
      <c r="K2655" s="20" t="str">
        <f>VLOOKUP(H2655,[1]媒体表!C:T,18,0)</f>
        <v>北京多彩</v>
      </c>
      <c r="L2655" s="58" t="s">
        <v>2089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-64.3299999999999</v>
      </c>
      <c r="T2655" s="59"/>
      <c r="U2655" s="59">
        <v>10.13</v>
      </c>
      <c r="V2655" s="59">
        <f t="shared" si="299"/>
        <v>-74.4599999999999</v>
      </c>
      <c r="W2655" s="32">
        <f t="shared" si="295"/>
        <v>9.93137254901961</v>
      </c>
      <c r="X2655" s="32"/>
      <c r="Y2655" s="32">
        <f t="shared" si="298"/>
        <v>9.93137254901961</v>
      </c>
      <c r="Z2655" s="55">
        <f t="shared" si="296"/>
        <v>0.198627450980393</v>
      </c>
      <c r="AA2655" s="59">
        <v>10.13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ht="14.25" spans="1:34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3185</v>
      </c>
      <c r="I2656" s="20" t="s">
        <v>108</v>
      </c>
      <c r="J2656" s="20" t="s">
        <v>3186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3187</v>
      </c>
      <c r="R2656" s="59"/>
      <c r="S2656" s="59">
        <v>0</v>
      </c>
      <c r="T2656" s="59"/>
      <c r="U2656" s="59">
        <v>31508.78</v>
      </c>
      <c r="V2656" s="59">
        <f t="shared" si="299"/>
        <v>-31508.78</v>
      </c>
      <c r="W2656" s="32">
        <f t="shared" si="295"/>
        <v>30591.0485436893</v>
      </c>
      <c r="X2656" s="32"/>
      <c r="Y2656" s="32">
        <f t="shared" si="298"/>
        <v>30591.0485436893</v>
      </c>
      <c r="Z2656" s="55">
        <f t="shared" si="296"/>
        <v>917.731456310681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ht="14.25" spans="1:34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3185</v>
      </c>
      <c r="I2657" s="20" t="s">
        <v>108</v>
      </c>
      <c r="J2657" s="20" t="s">
        <v>3186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3188</v>
      </c>
      <c r="R2657" s="59"/>
      <c r="S2657" s="59">
        <v>13770.67</v>
      </c>
      <c r="T2657" s="59"/>
      <c r="U2657" s="59">
        <v>38099.54</v>
      </c>
      <c r="V2657" s="59">
        <f t="shared" si="299"/>
        <v>-24328.87</v>
      </c>
      <c r="W2657" s="32">
        <f t="shared" si="295"/>
        <v>36989.8446601942</v>
      </c>
      <c r="X2657" s="32"/>
      <c r="Y2657" s="32">
        <f t="shared" si="298"/>
        <v>36989.8446601942</v>
      </c>
      <c r="Z2657" s="55">
        <f t="shared" si="296"/>
        <v>1109.69533980582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ht="14.25" spans="1:34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1791</v>
      </c>
      <c r="F2658" s="51" t="s">
        <v>1791</v>
      </c>
      <c r="G2658" s="51" t="s">
        <v>1791</v>
      </c>
      <c r="H2658" s="51" t="s">
        <v>3189</v>
      </c>
      <c r="I2658" s="20" t="s">
        <v>108</v>
      </c>
      <c r="J2658" s="20" t="s">
        <v>3190</v>
      </c>
      <c r="K2658" s="20" t="str">
        <f>VLOOKUP(H2658,[1]媒体表!C:T,18,0)</f>
        <v>北京多彩</v>
      </c>
      <c r="L2658" s="51" t="s">
        <v>3191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299"/>
        <v>917</v>
      </c>
      <c r="W2658" s="32">
        <f t="shared" si="295"/>
        <v>0</v>
      </c>
      <c r="X2658" s="32"/>
      <c r="Y2658" s="32">
        <f t="shared" si="298"/>
        <v>0</v>
      </c>
      <c r="Z2658" s="55">
        <f t="shared" si="296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ht="14.25" spans="1:34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3192</v>
      </c>
      <c r="I2659" s="20" t="s">
        <v>108</v>
      </c>
      <c r="J2659" s="20" t="s">
        <v>3193</v>
      </c>
      <c r="K2659" s="20" t="str">
        <f>VLOOKUP(H2659,[1]媒体表!C:T,18,0)</f>
        <v>北京多彩</v>
      </c>
      <c r="L2659" s="51" t="s">
        <v>3194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-2273.18</v>
      </c>
      <c r="U2659" s="67">
        <v>0</v>
      </c>
      <c r="V2659" s="67">
        <f t="shared" si="299"/>
        <v>-56597.52</v>
      </c>
      <c r="W2659" s="32">
        <f t="shared" si="295"/>
        <v>0</v>
      </c>
      <c r="X2659" s="32"/>
      <c r="Y2659" s="32">
        <f t="shared" si="298"/>
        <v>0</v>
      </c>
      <c r="Z2659" s="55">
        <f t="shared" si="296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ht="14.25" spans="1:34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3192</v>
      </c>
      <c r="I2660" s="20" t="s">
        <v>108</v>
      </c>
      <c r="J2660" s="20" t="s">
        <v>3193</v>
      </c>
      <c r="K2660" s="20" t="str">
        <f>VLOOKUP(H2660,[1]媒体表!C:T,18,0)</f>
        <v>北京多彩</v>
      </c>
      <c r="L2660" s="51" t="s">
        <v>3195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299"/>
        <v>0</v>
      </c>
      <c r="W2660" s="32">
        <f t="shared" si="295"/>
        <v>0</v>
      </c>
      <c r="X2660" s="32"/>
      <c r="Y2660" s="32">
        <f t="shared" si="298"/>
        <v>0</v>
      </c>
      <c r="Z2660" s="55">
        <f t="shared" si="296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ht="14.25" spans="1:34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3189</v>
      </c>
      <c r="I2661" s="20" t="s">
        <v>108</v>
      </c>
      <c r="J2661" s="20" t="s">
        <v>3190</v>
      </c>
      <c r="K2661" s="20" t="str">
        <f>VLOOKUP(H2661,[1]媒体表!C:T,18,0)</f>
        <v>北京多彩</v>
      </c>
      <c r="L2661" s="51" t="s">
        <v>3196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299"/>
        <v>0</v>
      </c>
      <c r="W2661" s="32">
        <f t="shared" si="295"/>
        <v>22103.85</v>
      </c>
      <c r="X2661" s="32"/>
      <c r="Y2661" s="32">
        <f t="shared" si="298"/>
        <v>22103.85</v>
      </c>
      <c r="Z2661" s="55">
        <f t="shared" si="296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ht="14.25" spans="1:34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3189</v>
      </c>
      <c r="I2662" s="20" t="s">
        <v>108</v>
      </c>
      <c r="J2662" s="20" t="s">
        <v>3190</v>
      </c>
      <c r="K2662" s="20" t="str">
        <f>VLOOKUP(H2662,[1]媒体表!C:T,18,0)</f>
        <v>北京多彩</v>
      </c>
      <c r="L2662" s="51" t="s">
        <v>3197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299"/>
        <v>0</v>
      </c>
      <c r="W2662" s="32">
        <f t="shared" si="295"/>
        <v>0</v>
      </c>
      <c r="X2662" s="32"/>
      <c r="Y2662" s="32">
        <f t="shared" si="298"/>
        <v>0</v>
      </c>
      <c r="Z2662" s="55">
        <f t="shared" si="296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ht="14.25" spans="1:34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3189</v>
      </c>
      <c r="I2663" s="20" t="s">
        <v>108</v>
      </c>
      <c r="J2663" s="20" t="s">
        <v>3190</v>
      </c>
      <c r="K2663" s="20" t="str">
        <f>VLOOKUP(H2663,[1]媒体表!C:T,18,0)</f>
        <v>北京多彩</v>
      </c>
      <c r="L2663" s="51" t="s">
        <v>3198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299"/>
        <v>6407.56</v>
      </c>
      <c r="W2663" s="32">
        <f t="shared" si="295"/>
        <v>5592.44</v>
      </c>
      <c r="X2663" s="32"/>
      <c r="Y2663" s="32">
        <f t="shared" si="298"/>
        <v>5592.44</v>
      </c>
      <c r="Z2663" s="55">
        <f t="shared" si="296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ht="14.25" spans="1:34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3189</v>
      </c>
      <c r="I2664" s="20" t="s">
        <v>108</v>
      </c>
      <c r="J2664" s="20" t="s">
        <v>3190</v>
      </c>
      <c r="K2664" s="20" t="str">
        <f>VLOOKUP(H2664,[1]媒体表!C:T,18,0)</f>
        <v>北京多彩</v>
      </c>
      <c r="L2664" s="51" t="s">
        <v>3199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5"/>
        <v>0</v>
      </c>
      <c r="X2664" s="32"/>
      <c r="Y2664" s="32">
        <f t="shared" si="298"/>
        <v>0</v>
      </c>
      <c r="Z2664" s="55">
        <f t="shared" si="296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ht="14.25" spans="1:34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3189</v>
      </c>
      <c r="I2665" s="20" t="s">
        <v>108</v>
      </c>
      <c r="J2665" s="20" t="s">
        <v>3190</v>
      </c>
      <c r="K2665" s="20" t="str">
        <f>VLOOKUP(H2665,[1]媒体表!C:T,18,0)</f>
        <v>北京多彩</v>
      </c>
      <c r="L2665" s="51" t="s">
        <v>3200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0">S2665+T2665-U2665</f>
        <v>-132876.06</v>
      </c>
      <c r="W2665" s="32">
        <f t="shared" si="295"/>
        <v>0</v>
      </c>
      <c r="X2665" s="32"/>
      <c r="Y2665" s="32">
        <f t="shared" si="298"/>
        <v>0</v>
      </c>
      <c r="Z2665" s="55">
        <f t="shared" si="296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ht="14.25" spans="1:34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3201</v>
      </c>
      <c r="G2666" s="51" t="s">
        <v>656</v>
      </c>
      <c r="H2666" s="51" t="s">
        <v>3189</v>
      </c>
      <c r="I2666" s="20" t="s">
        <v>108</v>
      </c>
      <c r="J2666" s="20" t="s">
        <v>3190</v>
      </c>
      <c r="K2666" s="20" t="str">
        <f>VLOOKUP(H2666,[1]媒体表!C:T,18,0)</f>
        <v>北京多彩</v>
      </c>
      <c r="L2666" s="51" t="s">
        <v>3202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</v>
      </c>
      <c r="T2666" s="67">
        <v>-5927.3</v>
      </c>
      <c r="U2666" s="67">
        <v>5056.5</v>
      </c>
      <c r="V2666" s="67">
        <f t="shared" si="300"/>
        <v>22492.5</v>
      </c>
      <c r="W2666" s="32">
        <f t="shared" si="295"/>
        <v>5056.5</v>
      </c>
      <c r="X2666" s="32"/>
      <c r="Y2666" s="32">
        <f t="shared" si="298"/>
        <v>5056.5</v>
      </c>
      <c r="Z2666" s="55">
        <f t="shared" si="296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ht="14.25" spans="1:34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2384</v>
      </c>
      <c r="F2667" s="51" t="s">
        <v>2384</v>
      </c>
      <c r="G2667" s="51" t="s">
        <v>2384</v>
      </c>
      <c r="H2667" s="51" t="s">
        <v>3189</v>
      </c>
      <c r="I2667" s="20" t="s">
        <v>108</v>
      </c>
      <c r="J2667" s="20" t="s">
        <v>3190</v>
      </c>
      <c r="K2667" s="20" t="str">
        <f>VLOOKUP(H2667,[1]媒体表!C:T,18,0)</f>
        <v>北京多彩</v>
      </c>
      <c r="L2667" s="51" t="s">
        <v>3203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</v>
      </c>
      <c r="T2667" s="67">
        <v>1000</v>
      </c>
      <c r="U2667" s="67">
        <v>0</v>
      </c>
      <c r="V2667" s="67">
        <f t="shared" si="300"/>
        <v>3442.3</v>
      </c>
      <c r="W2667" s="32">
        <f t="shared" si="295"/>
        <v>0</v>
      </c>
      <c r="X2667" s="32"/>
      <c r="Y2667" s="32">
        <f t="shared" si="298"/>
        <v>0</v>
      </c>
      <c r="Z2667" s="55">
        <f t="shared" si="296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ht="14.25" spans="1:34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3189</v>
      </c>
      <c r="I2668" s="20" t="s">
        <v>108</v>
      </c>
      <c r="J2668" s="20" t="s">
        <v>3190</v>
      </c>
      <c r="K2668" s="20" t="str">
        <f>VLOOKUP(H2668,[1]媒体表!C:T,18,0)</f>
        <v>北京多彩</v>
      </c>
      <c r="L2668" s="51" t="s">
        <v>3204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0"/>
        <v>-1516.75</v>
      </c>
      <c r="W2668" s="32">
        <f t="shared" si="295"/>
        <v>0</v>
      </c>
      <c r="X2668" s="32"/>
      <c r="Y2668" s="32">
        <f t="shared" si="298"/>
        <v>0</v>
      </c>
      <c r="Z2668" s="55">
        <f t="shared" si="296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ht="14.25" spans="1:34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3205</v>
      </c>
      <c r="F2669" s="51" t="s">
        <v>3205</v>
      </c>
      <c r="G2669" s="51" t="s">
        <v>3205</v>
      </c>
      <c r="H2669" s="51" t="s">
        <v>3189</v>
      </c>
      <c r="I2669" s="20" t="s">
        <v>108</v>
      </c>
      <c r="J2669" s="20" t="s">
        <v>3190</v>
      </c>
      <c r="K2669" s="20" t="str">
        <f>VLOOKUP(H2669,[1]媒体表!C:T,18,0)</f>
        <v>北京多彩</v>
      </c>
      <c r="L2669" s="51" t="s">
        <v>3206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0"/>
        <v>4248.5</v>
      </c>
      <c r="W2669" s="32">
        <f t="shared" si="295"/>
        <v>21886.3</v>
      </c>
      <c r="X2669" s="32"/>
      <c r="Y2669" s="32">
        <f t="shared" si="298"/>
        <v>21886.3</v>
      </c>
      <c r="Z2669" s="55">
        <f t="shared" si="296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ht="14.25" spans="1:34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3155</v>
      </c>
      <c r="F2670" s="51" t="s">
        <v>3155</v>
      </c>
      <c r="G2670" s="51" t="s">
        <v>3155</v>
      </c>
      <c r="H2670" s="51" t="s">
        <v>3189</v>
      </c>
      <c r="I2670" s="20" t="s">
        <v>108</v>
      </c>
      <c r="J2670" s="20" t="s">
        <v>3190</v>
      </c>
      <c r="K2670" s="20" t="str">
        <f>VLOOKUP(H2670,[1]媒体表!C:T,18,0)</f>
        <v>北京多彩</v>
      </c>
      <c r="L2670" s="51" t="s">
        <v>3207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0"/>
        <v>22923.74</v>
      </c>
      <c r="W2670" s="32">
        <f t="shared" si="295"/>
        <v>25765.14</v>
      </c>
      <c r="X2670" s="32"/>
      <c r="Y2670" s="32">
        <f t="shared" si="298"/>
        <v>25765.14</v>
      </c>
      <c r="Z2670" s="55">
        <f t="shared" si="296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ht="14.25" spans="1:34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3189</v>
      </c>
      <c r="I2671" s="20" t="s">
        <v>108</v>
      </c>
      <c r="J2671" s="20" t="s">
        <v>3190</v>
      </c>
      <c r="K2671" s="20" t="str">
        <f>VLOOKUP(H2671,[1]媒体表!C:T,18,0)</f>
        <v>北京多彩</v>
      </c>
      <c r="L2671" s="51" t="s">
        <v>3208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0"/>
        <v>0</v>
      </c>
      <c r="W2671" s="32">
        <f t="shared" si="295"/>
        <v>0</v>
      </c>
      <c r="X2671" s="32"/>
      <c r="Y2671" s="32">
        <f t="shared" si="298"/>
        <v>0</v>
      </c>
      <c r="Z2671" s="55">
        <f t="shared" si="296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ht="14.25" spans="1:34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3189</v>
      </c>
      <c r="I2672" s="20" t="s">
        <v>108</v>
      </c>
      <c r="J2672" s="20" t="s">
        <v>3190</v>
      </c>
      <c r="K2672" s="20" t="str">
        <f>VLOOKUP(H2672,[1]媒体表!C:T,18,0)</f>
        <v>北京多彩</v>
      </c>
      <c r="L2672" s="66" t="s">
        <v>3198</v>
      </c>
      <c r="M2672" s="51"/>
      <c r="N2672" s="51" t="s">
        <v>42</v>
      </c>
      <c r="O2672" s="67" t="s">
        <v>43</v>
      </c>
      <c r="P2672" s="66">
        <v>0.02</v>
      </c>
      <c r="Q2672" s="68" t="s">
        <v>3209</v>
      </c>
      <c r="R2672" s="67"/>
      <c r="S2672" s="67">
        <v>5269.77</v>
      </c>
      <c r="T2672" s="67"/>
      <c r="U2672" s="67">
        <v>5269.77</v>
      </c>
      <c r="V2672" s="67">
        <f t="shared" si="300"/>
        <v>0</v>
      </c>
      <c r="W2672" s="32">
        <f t="shared" ref="W2672:W2722" si="301">IF(O2672="返货",U2672/(1+P2672),IF(O2672="返现",U2672,IF(O2672="折扣",U2672*P2672,IF(O2672="无",U2672))))</f>
        <v>5166.44117647059</v>
      </c>
      <c r="X2672" s="32"/>
      <c r="Y2672" s="32">
        <f t="shared" si="298"/>
        <v>5166.44117647059</v>
      </c>
      <c r="Z2672" s="55">
        <f t="shared" si="296"/>
        <v>103.328823529412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ht="14.25" spans="1:34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2769</v>
      </c>
      <c r="F2673" s="51" t="s">
        <v>2769</v>
      </c>
      <c r="G2673" s="51" t="s">
        <v>2769</v>
      </c>
      <c r="H2673" s="51" t="s">
        <v>3189</v>
      </c>
      <c r="I2673" s="20" t="s">
        <v>108</v>
      </c>
      <c r="J2673" s="20" t="s">
        <v>3190</v>
      </c>
      <c r="K2673" s="20" t="str">
        <f>VLOOKUP(H2673,[1]媒体表!C:T,18,0)</f>
        <v>北京多彩</v>
      </c>
      <c r="L2673" s="66" t="s">
        <v>3210</v>
      </c>
      <c r="M2673" s="51"/>
      <c r="N2673" s="51" t="s">
        <v>42</v>
      </c>
      <c r="O2673" s="67" t="s">
        <v>43</v>
      </c>
      <c r="P2673" s="66">
        <v>0.02</v>
      </c>
      <c r="Q2673" s="68" t="s">
        <v>3211</v>
      </c>
      <c r="R2673" s="67"/>
      <c r="S2673" s="67">
        <v>30630.4</v>
      </c>
      <c r="T2673" s="67"/>
      <c r="U2673" s="67">
        <v>4831.8</v>
      </c>
      <c r="V2673" s="67">
        <f t="shared" si="300"/>
        <v>25798.6</v>
      </c>
      <c r="W2673" s="32">
        <f t="shared" si="301"/>
        <v>4737.05882352941</v>
      </c>
      <c r="X2673" s="32"/>
      <c r="Y2673" s="32">
        <f t="shared" si="298"/>
        <v>4737.05882352941</v>
      </c>
      <c r="Z2673" s="55">
        <f t="shared" si="296"/>
        <v>94.7411764705885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ht="14.25" spans="1:34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2375</v>
      </c>
      <c r="F2674" s="51" t="s">
        <v>2375</v>
      </c>
      <c r="G2674" s="51" t="s">
        <v>2375</v>
      </c>
      <c r="H2674" s="51" t="s">
        <v>3189</v>
      </c>
      <c r="I2674" s="20" t="s">
        <v>108</v>
      </c>
      <c r="J2674" s="20" t="s">
        <v>3190</v>
      </c>
      <c r="K2674" s="20" t="str">
        <f>VLOOKUP(H2674,[1]媒体表!C:T,18,0)</f>
        <v>北京多彩</v>
      </c>
      <c r="L2674" s="66" t="s">
        <v>3212</v>
      </c>
      <c r="M2674" s="51"/>
      <c r="N2674" s="51" t="s">
        <v>42</v>
      </c>
      <c r="O2674" s="67" t="s">
        <v>82</v>
      </c>
      <c r="P2674" s="66">
        <v>0</v>
      </c>
      <c r="Q2674" s="68" t="s">
        <v>3213</v>
      </c>
      <c r="R2674" s="67"/>
      <c r="S2674" s="67">
        <v>-6514.2</v>
      </c>
      <c r="T2674" s="67"/>
      <c r="U2674" s="67">
        <v>0</v>
      </c>
      <c r="V2674" s="67">
        <f t="shared" si="300"/>
        <v>-6514.2</v>
      </c>
      <c r="W2674" s="32">
        <f t="shared" si="301"/>
        <v>0</v>
      </c>
      <c r="X2674" s="32"/>
      <c r="Y2674" s="32">
        <f t="shared" si="298"/>
        <v>0</v>
      </c>
      <c r="Z2674" s="55">
        <f t="shared" si="296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ht="14.25" spans="1:34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3189</v>
      </c>
      <c r="I2675" s="20" t="s">
        <v>108</v>
      </c>
      <c r="J2675" s="20" t="s">
        <v>3190</v>
      </c>
      <c r="K2675" s="20" t="str">
        <f>VLOOKUP(H2675,[1]媒体表!C:T,18,0)</f>
        <v>北京多彩</v>
      </c>
      <c r="L2675" s="66" t="s">
        <v>3200</v>
      </c>
      <c r="M2675" s="51"/>
      <c r="N2675" s="51" t="s">
        <v>42</v>
      </c>
      <c r="O2675" s="67" t="s">
        <v>82</v>
      </c>
      <c r="P2675" s="66">
        <v>0</v>
      </c>
      <c r="Q2675" s="68" t="s">
        <v>3214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0"/>
        <v>58394.6000000001</v>
      </c>
      <c r="W2675" s="32">
        <f t="shared" si="301"/>
        <v>0</v>
      </c>
      <c r="X2675" s="32">
        <v>38377.62</v>
      </c>
      <c r="Y2675" s="32">
        <f t="shared" si="298"/>
        <v>38377.62</v>
      </c>
      <c r="Z2675" s="55">
        <f t="shared" si="296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ht="14.25" spans="1:34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3192</v>
      </c>
      <c r="I2676" s="20" t="s">
        <v>108</v>
      </c>
      <c r="J2676" s="20" t="s">
        <v>3193</v>
      </c>
      <c r="K2676" s="20" t="str">
        <f>VLOOKUP(H2676,[1]媒体表!C:T,18,0)</f>
        <v>北京多彩</v>
      </c>
      <c r="L2676" s="66" t="s">
        <v>3195</v>
      </c>
      <c r="M2676" s="51"/>
      <c r="N2676" s="51" t="s">
        <v>59</v>
      </c>
      <c r="O2676" s="67" t="s">
        <v>43</v>
      </c>
      <c r="P2676" s="66">
        <v>0.04</v>
      </c>
      <c r="Q2676" s="68" t="s">
        <v>3215</v>
      </c>
      <c r="R2676" s="67"/>
      <c r="S2676" s="67">
        <v>68831.96</v>
      </c>
      <c r="T2676" s="67"/>
      <c r="U2676" s="67">
        <v>0</v>
      </c>
      <c r="V2676" s="67">
        <f t="shared" si="300"/>
        <v>68831.96</v>
      </c>
      <c r="W2676" s="32">
        <f t="shared" si="301"/>
        <v>0</v>
      </c>
      <c r="X2676" s="32"/>
      <c r="Y2676" s="32">
        <f t="shared" si="298"/>
        <v>0</v>
      </c>
      <c r="Z2676" s="55">
        <f t="shared" si="296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ht="14.25" spans="1:34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3192</v>
      </c>
      <c r="I2677" s="20" t="s">
        <v>108</v>
      </c>
      <c r="J2677" s="20" t="s">
        <v>3193</v>
      </c>
      <c r="K2677" s="20" t="str">
        <f>VLOOKUP(H2677,[1]媒体表!C:T,18,0)</f>
        <v>北京多彩</v>
      </c>
      <c r="L2677" s="66" t="s">
        <v>3195</v>
      </c>
      <c r="M2677" s="51"/>
      <c r="N2677" s="51" t="s">
        <v>42</v>
      </c>
      <c r="O2677" s="51" t="s">
        <v>82</v>
      </c>
      <c r="P2677" s="66">
        <v>0</v>
      </c>
      <c r="Q2677" s="68" t="s">
        <v>3215</v>
      </c>
      <c r="R2677" s="67"/>
      <c r="S2677" s="67">
        <v>93208.3700000001</v>
      </c>
      <c r="T2677" s="67">
        <v>-20122.74</v>
      </c>
      <c r="U2677" s="67">
        <v>2665.35</v>
      </c>
      <c r="V2677" s="67">
        <f t="shared" si="300"/>
        <v>70420.2800000001</v>
      </c>
      <c r="W2677" s="32">
        <f t="shared" si="301"/>
        <v>2665.35</v>
      </c>
      <c r="X2677" s="32"/>
      <c r="Y2677" s="32">
        <f t="shared" si="298"/>
        <v>2665.35</v>
      </c>
      <c r="Z2677" s="55">
        <f t="shared" si="296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ht="14.25" spans="1:34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3192</v>
      </c>
      <c r="I2678" s="20" t="s">
        <v>108</v>
      </c>
      <c r="J2678" s="20" t="s">
        <v>3193</v>
      </c>
      <c r="K2678" s="20" t="str">
        <f>VLOOKUP(H2678,[1]媒体表!C:T,18,0)</f>
        <v>北京多彩</v>
      </c>
      <c r="L2678" s="66" t="s">
        <v>3195</v>
      </c>
      <c r="M2678" s="51"/>
      <c r="N2678" s="51" t="s">
        <v>333</v>
      </c>
      <c r="O2678" s="67" t="s">
        <v>43</v>
      </c>
      <c r="P2678" s="66">
        <v>0.02</v>
      </c>
      <c r="Q2678" s="68" t="s">
        <v>3215</v>
      </c>
      <c r="R2678" s="67"/>
      <c r="S2678" s="67">
        <v>73.66</v>
      </c>
      <c r="T2678" s="67"/>
      <c r="U2678" s="67">
        <v>0</v>
      </c>
      <c r="V2678" s="67">
        <f t="shared" si="300"/>
        <v>73.66</v>
      </c>
      <c r="W2678" s="32">
        <f t="shared" si="301"/>
        <v>0</v>
      </c>
      <c r="X2678" s="32"/>
      <c r="Y2678" s="32">
        <f t="shared" si="298"/>
        <v>0</v>
      </c>
      <c r="Z2678" s="55">
        <f t="shared" si="296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ht="14.25" spans="1:34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3216</v>
      </c>
      <c r="I2679" s="20" t="s">
        <v>108</v>
      </c>
      <c r="J2679" s="20"/>
      <c r="K2679" s="20"/>
      <c r="L2679" s="66" t="s">
        <v>3217</v>
      </c>
      <c r="M2679" s="51"/>
      <c r="N2679" s="51" t="s">
        <v>42</v>
      </c>
      <c r="O2679" s="67" t="s">
        <v>82</v>
      </c>
      <c r="P2679" s="66">
        <v>0</v>
      </c>
      <c r="Q2679" s="68" t="s">
        <v>3218</v>
      </c>
      <c r="R2679" s="67"/>
      <c r="S2679" s="67">
        <v>-72524.27</v>
      </c>
      <c r="T2679" s="67"/>
      <c r="U2679" s="67">
        <v>0</v>
      </c>
      <c r="V2679" s="67">
        <f t="shared" si="300"/>
        <v>-72524.27</v>
      </c>
      <c r="W2679" s="32">
        <f t="shared" si="301"/>
        <v>0</v>
      </c>
      <c r="X2679" s="32"/>
      <c r="Y2679" s="32">
        <f t="shared" si="298"/>
        <v>0</v>
      </c>
      <c r="Z2679" s="55">
        <f t="shared" ref="Z2679:Z2722" si="302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ht="14.25" spans="1:34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2488</v>
      </c>
      <c r="F2680" s="51" t="s">
        <v>2488</v>
      </c>
      <c r="G2680" s="51" t="s">
        <v>2488</v>
      </c>
      <c r="H2680" s="51" t="s">
        <v>3189</v>
      </c>
      <c r="I2680" s="20" t="s">
        <v>108</v>
      </c>
      <c r="J2680" s="20" t="s">
        <v>3190</v>
      </c>
      <c r="K2680" s="20" t="str">
        <f>VLOOKUP(H2680,[1]媒体表!C:T,18,0)</f>
        <v>北京多彩</v>
      </c>
      <c r="L2680" s="66" t="s">
        <v>3219</v>
      </c>
      <c r="M2680" s="51"/>
      <c r="N2680" s="51" t="s">
        <v>42</v>
      </c>
      <c r="O2680" s="67" t="s">
        <v>43</v>
      </c>
      <c r="P2680" s="66">
        <v>0.02</v>
      </c>
      <c r="Q2680" s="68" t="s">
        <v>3220</v>
      </c>
      <c r="R2680" s="67"/>
      <c r="S2680" s="67">
        <v>45.8999999999999</v>
      </c>
      <c r="T2680" s="67"/>
      <c r="U2680" s="67">
        <v>0</v>
      </c>
      <c r="V2680" s="67">
        <f t="shared" si="300"/>
        <v>45.8999999999999</v>
      </c>
      <c r="W2680" s="32">
        <f t="shared" si="301"/>
        <v>0</v>
      </c>
      <c r="X2680" s="32"/>
      <c r="Y2680" s="32">
        <f t="shared" si="298"/>
        <v>0</v>
      </c>
      <c r="Z2680" s="55">
        <f t="shared" si="302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ht="14.25" spans="1:34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3192</v>
      </c>
      <c r="I2681" s="20" t="s">
        <v>108</v>
      </c>
      <c r="J2681" s="20" t="s">
        <v>3193</v>
      </c>
      <c r="K2681" s="20" t="str">
        <f>VLOOKUP(H2681,[1]媒体表!C:T,18,0)</f>
        <v>北京多彩</v>
      </c>
      <c r="L2681" s="66" t="s">
        <v>3194</v>
      </c>
      <c r="M2681" s="51"/>
      <c r="N2681" s="51" t="s">
        <v>59</v>
      </c>
      <c r="O2681" s="67" t="s">
        <v>82</v>
      </c>
      <c r="P2681" s="66">
        <v>0</v>
      </c>
      <c r="Q2681" s="68" t="s">
        <v>3221</v>
      </c>
      <c r="R2681" s="67"/>
      <c r="S2681" s="67">
        <v>396732.18</v>
      </c>
      <c r="T2681" s="67"/>
      <c r="U2681" s="67">
        <v>0</v>
      </c>
      <c r="V2681" s="67">
        <f t="shared" si="300"/>
        <v>396732.18</v>
      </c>
      <c r="W2681" s="32">
        <f t="shared" si="301"/>
        <v>0</v>
      </c>
      <c r="X2681" s="32"/>
      <c r="Y2681" s="32">
        <f t="shared" si="298"/>
        <v>0</v>
      </c>
      <c r="Z2681" s="55">
        <f t="shared" si="302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ht="14.25" spans="1:34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3189</v>
      </c>
      <c r="I2682" s="20" t="s">
        <v>108</v>
      </c>
      <c r="J2682" s="20" t="s">
        <v>3190</v>
      </c>
      <c r="K2682" s="20" t="str">
        <f>VLOOKUP(H2682,[1]媒体表!C:T,18,0)</f>
        <v>北京多彩</v>
      </c>
      <c r="L2682" s="66" t="s">
        <v>3199</v>
      </c>
      <c r="M2682" s="51"/>
      <c r="N2682" s="51" t="s">
        <v>42</v>
      </c>
      <c r="O2682" s="67" t="s">
        <v>82</v>
      </c>
      <c r="P2682" s="66">
        <v>0</v>
      </c>
      <c r="Q2682" s="68" t="s">
        <v>3222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1"/>
        <v>0</v>
      </c>
      <c r="X2682" s="32"/>
      <c r="Y2682" s="32">
        <f t="shared" si="298"/>
        <v>0</v>
      </c>
      <c r="Z2682" s="55">
        <f t="shared" si="302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ht="14.25" spans="1:34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2375</v>
      </c>
      <c r="F2683" s="51" t="s">
        <v>2375</v>
      </c>
      <c r="G2683" s="51" t="s">
        <v>2375</v>
      </c>
      <c r="H2683" s="51" t="s">
        <v>3189</v>
      </c>
      <c r="I2683" s="20" t="s">
        <v>108</v>
      </c>
      <c r="J2683" s="20" t="s">
        <v>3190</v>
      </c>
      <c r="K2683" s="20" t="str">
        <f>VLOOKUP(H2683,[1]媒体表!C:T,18,0)</f>
        <v>北京多彩</v>
      </c>
      <c r="L2683" s="66" t="s">
        <v>3212</v>
      </c>
      <c r="M2683" s="51"/>
      <c r="N2683" s="51" t="s">
        <v>42</v>
      </c>
      <c r="O2683" s="67" t="s">
        <v>82</v>
      </c>
      <c r="P2683" s="66">
        <v>0</v>
      </c>
      <c r="Q2683" s="68" t="s">
        <v>3213</v>
      </c>
      <c r="R2683" s="67"/>
      <c r="S2683" s="67">
        <v>-13001.65</v>
      </c>
      <c r="T2683" s="67"/>
      <c r="U2683" s="67">
        <v>0</v>
      </c>
      <c r="V2683" s="67">
        <f t="shared" ref="V2683:V2722" si="303">S2683+T2683-U2683</f>
        <v>-13001.65</v>
      </c>
      <c r="W2683" s="32">
        <f t="shared" si="301"/>
        <v>0</v>
      </c>
      <c r="X2683" s="32"/>
      <c r="Y2683" s="32">
        <f t="shared" si="298"/>
        <v>0</v>
      </c>
      <c r="Z2683" s="55">
        <f t="shared" si="302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ht="14.25" spans="1:34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3223</v>
      </c>
      <c r="I2684" s="20" t="s">
        <v>108</v>
      </c>
      <c r="J2684" s="20"/>
      <c r="K2684" s="20"/>
      <c r="L2684" s="66" t="s">
        <v>3224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-132620.77</v>
      </c>
      <c r="T2684" s="67"/>
      <c r="U2684" s="67">
        <v>0</v>
      </c>
      <c r="V2684" s="67">
        <f t="shared" si="303"/>
        <v>-132620.77</v>
      </c>
      <c r="W2684" s="32">
        <f t="shared" si="301"/>
        <v>0</v>
      </c>
      <c r="X2684" s="32"/>
      <c r="Y2684" s="32">
        <f t="shared" si="298"/>
        <v>0</v>
      </c>
      <c r="Z2684" s="55">
        <f t="shared" si="302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ht="14.25" spans="1:34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3223</v>
      </c>
      <c r="I2685" s="20" t="s">
        <v>108</v>
      </c>
      <c r="J2685" s="20"/>
      <c r="K2685" s="20"/>
      <c r="L2685" s="66" t="s">
        <v>3224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</v>
      </c>
      <c r="T2685" s="67"/>
      <c r="U2685" s="67">
        <v>0</v>
      </c>
      <c r="V2685" s="67">
        <f t="shared" si="303"/>
        <v>-81833.96</v>
      </c>
      <c r="W2685" s="32">
        <f t="shared" si="301"/>
        <v>0</v>
      </c>
      <c r="X2685" s="32"/>
      <c r="Y2685" s="32">
        <f t="shared" si="298"/>
        <v>0</v>
      </c>
      <c r="Z2685" s="55">
        <f t="shared" si="302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ht="14.25" spans="1:34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3223</v>
      </c>
      <c r="I2686" s="20" t="s">
        <v>108</v>
      </c>
      <c r="J2686" s="20"/>
      <c r="K2686" s="20"/>
      <c r="L2686" s="66" t="s">
        <v>3225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3"/>
        <v>14646.16</v>
      </c>
      <c r="W2686" s="32">
        <f t="shared" si="301"/>
        <v>0</v>
      </c>
      <c r="X2686" s="32"/>
      <c r="Y2686" s="32">
        <f t="shared" si="298"/>
        <v>0</v>
      </c>
      <c r="Z2686" s="55">
        <f t="shared" si="302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ht="14.25" spans="1:34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3223</v>
      </c>
      <c r="I2687" s="20" t="s">
        <v>108</v>
      </c>
      <c r="J2687" s="20"/>
      <c r="K2687" s="20"/>
      <c r="L2687" s="66" t="s">
        <v>3226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</v>
      </c>
      <c r="T2687" s="67"/>
      <c r="U2687" s="67">
        <v>0</v>
      </c>
      <c r="V2687" s="67">
        <f t="shared" si="303"/>
        <v>-18.6</v>
      </c>
      <c r="W2687" s="32">
        <f t="shared" si="301"/>
        <v>0</v>
      </c>
      <c r="X2687" s="32"/>
      <c r="Y2687" s="32">
        <f t="shared" si="298"/>
        <v>0</v>
      </c>
      <c r="Z2687" s="55">
        <f t="shared" si="302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ht="14.25" spans="1:34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3223</v>
      </c>
      <c r="I2688" s="20" t="s">
        <v>108</v>
      </c>
      <c r="J2688" s="20"/>
      <c r="K2688" s="20"/>
      <c r="L2688" s="66" t="s">
        <v>3227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3"/>
        <v>15598.88</v>
      </c>
      <c r="W2688" s="32">
        <f t="shared" si="301"/>
        <v>0</v>
      </c>
      <c r="X2688" s="32"/>
      <c r="Y2688" s="32">
        <f t="shared" si="298"/>
        <v>0</v>
      </c>
      <c r="Z2688" s="55">
        <f t="shared" si="302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ht="14.25" spans="1:34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3223</v>
      </c>
      <c r="I2689" s="20" t="s">
        <v>108</v>
      </c>
      <c r="J2689" s="20"/>
      <c r="K2689" s="20"/>
      <c r="L2689" s="66" t="s">
        <v>3228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</v>
      </c>
      <c r="T2689" s="67"/>
      <c r="U2689" s="67">
        <v>0</v>
      </c>
      <c r="V2689" s="67">
        <f t="shared" si="303"/>
        <v>81833.96</v>
      </c>
      <c r="W2689" s="32">
        <f t="shared" si="301"/>
        <v>0</v>
      </c>
      <c r="X2689" s="32"/>
      <c r="Y2689" s="32">
        <f t="shared" si="298"/>
        <v>0</v>
      </c>
      <c r="Z2689" s="55">
        <f t="shared" si="302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ht="14.25" spans="1:34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2375</v>
      </c>
      <c r="F2690" s="51" t="s">
        <v>2375</v>
      </c>
      <c r="G2690" s="51" t="s">
        <v>2375</v>
      </c>
      <c r="H2690" s="51" t="s">
        <v>3189</v>
      </c>
      <c r="I2690" s="20" t="s">
        <v>108</v>
      </c>
      <c r="J2690" s="20" t="s">
        <v>3190</v>
      </c>
      <c r="K2690" s="20" t="str">
        <f>VLOOKUP(H2690,[1]媒体表!C:T,18,0)</f>
        <v>北京多彩</v>
      </c>
      <c r="L2690" s="66" t="s">
        <v>3212</v>
      </c>
      <c r="M2690" s="51"/>
      <c r="N2690" s="51" t="s">
        <v>42</v>
      </c>
      <c r="O2690" s="67" t="s">
        <v>82</v>
      </c>
      <c r="P2690" s="66">
        <v>0</v>
      </c>
      <c r="Q2690" s="68" t="s">
        <v>3213</v>
      </c>
      <c r="R2690" s="67"/>
      <c r="S2690" s="67">
        <v>17089.75</v>
      </c>
      <c r="T2690" s="67"/>
      <c r="U2690" s="67">
        <v>0</v>
      </c>
      <c r="V2690" s="67">
        <f t="shared" si="303"/>
        <v>17089.75</v>
      </c>
      <c r="W2690" s="32">
        <f t="shared" si="301"/>
        <v>0</v>
      </c>
      <c r="X2690" s="32"/>
      <c r="Y2690" s="32">
        <f t="shared" si="298"/>
        <v>0</v>
      </c>
      <c r="Z2690" s="55">
        <f t="shared" si="302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ht="14.25" spans="1:34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3075</v>
      </c>
      <c r="F2691" s="51" t="s">
        <v>3075</v>
      </c>
      <c r="G2691" s="51" t="s">
        <v>3075</v>
      </c>
      <c r="H2691" s="51" t="s">
        <v>3229</v>
      </c>
      <c r="I2691" s="20" t="s">
        <v>108</v>
      </c>
      <c r="J2691" s="20"/>
      <c r="K2691" s="20"/>
      <c r="L2691" s="66" t="s">
        <v>3230</v>
      </c>
      <c r="M2691" s="51"/>
      <c r="N2691" s="51" t="s">
        <v>42</v>
      </c>
      <c r="O2691" s="67" t="s">
        <v>82</v>
      </c>
      <c r="P2691" s="66">
        <v>0</v>
      </c>
      <c r="Q2691" s="68" t="s">
        <v>3231</v>
      </c>
      <c r="R2691" s="67"/>
      <c r="S2691" s="67">
        <v>-196.079999999998</v>
      </c>
      <c r="T2691" s="67"/>
      <c r="U2691" s="67">
        <v>0</v>
      </c>
      <c r="V2691" s="67">
        <f t="shared" si="303"/>
        <v>-196.079999999998</v>
      </c>
      <c r="W2691" s="32">
        <f t="shared" si="301"/>
        <v>0</v>
      </c>
      <c r="X2691" s="32"/>
      <c r="Y2691" s="32">
        <f t="shared" si="298"/>
        <v>0</v>
      </c>
      <c r="Z2691" s="55">
        <f t="shared" si="302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ht="14.25" spans="1:34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3223</v>
      </c>
      <c r="I2692" s="20" t="s">
        <v>108</v>
      </c>
      <c r="J2692" s="20"/>
      <c r="K2692" s="20"/>
      <c r="L2692" s="66" t="s">
        <v>3232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3"/>
        <v>2500</v>
      </c>
      <c r="W2692" s="32">
        <f t="shared" si="301"/>
        <v>0</v>
      </c>
      <c r="X2692" s="32"/>
      <c r="Y2692" s="32">
        <f t="shared" si="298"/>
        <v>0</v>
      </c>
      <c r="Z2692" s="55">
        <f t="shared" si="302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ht="14.25" spans="1:34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3233</v>
      </c>
      <c r="F2693" s="51" t="s">
        <v>3233</v>
      </c>
      <c r="G2693" s="51" t="s">
        <v>3233</v>
      </c>
      <c r="H2693" s="51" t="s">
        <v>3223</v>
      </c>
      <c r="I2693" s="20" t="s">
        <v>108</v>
      </c>
      <c r="J2693" s="20"/>
      <c r="K2693" s="20"/>
      <c r="L2693" s="66" t="s">
        <v>3234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3"/>
        <v>7.2</v>
      </c>
      <c r="W2693" s="32">
        <f t="shared" si="301"/>
        <v>0</v>
      </c>
      <c r="X2693" s="32"/>
      <c r="Y2693" s="32">
        <f t="shared" si="298"/>
        <v>0</v>
      </c>
      <c r="Z2693" s="55">
        <f t="shared" si="302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ht="14.25" spans="1:34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3233</v>
      </c>
      <c r="F2694" s="51" t="s">
        <v>3233</v>
      </c>
      <c r="G2694" s="51" t="s">
        <v>3233</v>
      </c>
      <c r="H2694" s="51" t="s">
        <v>3192</v>
      </c>
      <c r="I2694" s="20" t="s">
        <v>108</v>
      </c>
      <c r="J2694" s="20" t="s">
        <v>3193</v>
      </c>
      <c r="K2694" s="20" t="str">
        <f>VLOOKUP(H2694,[1]媒体表!C:T,18,0)</f>
        <v>北京多彩</v>
      </c>
      <c r="L2694" s="66" t="s">
        <v>3235</v>
      </c>
      <c r="M2694" s="51"/>
      <c r="N2694" s="51" t="s">
        <v>42</v>
      </c>
      <c r="O2694" s="67" t="s">
        <v>43</v>
      </c>
      <c r="P2694" s="66">
        <v>0.04</v>
      </c>
      <c r="Q2694" s="68" t="s">
        <v>3236</v>
      </c>
      <c r="R2694" s="67"/>
      <c r="S2694" s="67">
        <v>-50774.25</v>
      </c>
      <c r="T2694" s="67"/>
      <c r="U2694" s="67">
        <v>0</v>
      </c>
      <c r="V2694" s="67">
        <f t="shared" si="303"/>
        <v>-50774.25</v>
      </c>
      <c r="W2694" s="32">
        <f t="shared" si="301"/>
        <v>0</v>
      </c>
      <c r="X2694" s="32"/>
      <c r="Y2694" s="32">
        <f t="shared" si="298"/>
        <v>0</v>
      </c>
      <c r="Z2694" s="55">
        <f t="shared" si="302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ht="14.25" spans="1:34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3233</v>
      </c>
      <c r="F2695" s="51" t="s">
        <v>3233</v>
      </c>
      <c r="G2695" s="51" t="s">
        <v>3233</v>
      </c>
      <c r="H2695" s="51" t="s">
        <v>3189</v>
      </c>
      <c r="I2695" s="20" t="s">
        <v>108</v>
      </c>
      <c r="J2695" s="20" t="s">
        <v>3190</v>
      </c>
      <c r="K2695" s="20" t="str">
        <f>VLOOKUP(H2695,[1]媒体表!C:T,18,0)</f>
        <v>北京多彩</v>
      </c>
      <c r="L2695" s="66" t="s">
        <v>3237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3"/>
        <v>80000</v>
      </c>
      <c r="W2695" s="32">
        <f t="shared" si="301"/>
        <v>0</v>
      </c>
      <c r="X2695" s="32"/>
      <c r="Y2695" s="32">
        <f t="shared" si="298"/>
        <v>0</v>
      </c>
      <c r="Z2695" s="55">
        <f t="shared" si="302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ht="14.25" spans="1:34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3233</v>
      </c>
      <c r="F2696" s="51" t="s">
        <v>3233</v>
      </c>
      <c r="G2696" s="51" t="s">
        <v>3233</v>
      </c>
      <c r="H2696" s="51" t="s">
        <v>3189</v>
      </c>
      <c r="I2696" s="20" t="s">
        <v>108</v>
      </c>
      <c r="J2696" s="20" t="s">
        <v>3190</v>
      </c>
      <c r="K2696" s="20" t="str">
        <f>VLOOKUP(H2696,[1]媒体表!C:T,18,0)</f>
        <v>北京多彩</v>
      </c>
      <c r="L2696" s="66" t="s">
        <v>3238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3"/>
        <v>40000</v>
      </c>
      <c r="W2696" s="32">
        <f t="shared" si="301"/>
        <v>0</v>
      </c>
      <c r="X2696" s="32"/>
      <c r="Y2696" s="32">
        <f t="shared" si="298"/>
        <v>0</v>
      </c>
      <c r="Z2696" s="55">
        <f t="shared" si="302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ht="14.25" spans="1:34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3233</v>
      </c>
      <c r="F2697" s="51" t="s">
        <v>3233</v>
      </c>
      <c r="G2697" s="51" t="s">
        <v>3233</v>
      </c>
      <c r="H2697" s="51" t="s">
        <v>3189</v>
      </c>
      <c r="I2697" s="20" t="s">
        <v>108</v>
      </c>
      <c r="J2697" s="20" t="s">
        <v>3190</v>
      </c>
      <c r="K2697" s="20" t="str">
        <f>VLOOKUP(H2697,[1]媒体表!C:T,18,0)</f>
        <v>北京多彩</v>
      </c>
      <c r="L2697" s="66" t="s">
        <v>3239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3"/>
        <v>186117.1</v>
      </c>
      <c r="W2697" s="32">
        <f t="shared" si="301"/>
        <v>0</v>
      </c>
      <c r="X2697" s="32"/>
      <c r="Y2697" s="32">
        <f t="shared" si="298"/>
        <v>0</v>
      </c>
      <c r="Z2697" s="55">
        <f t="shared" si="302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ht="14.25" spans="1:34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3233</v>
      </c>
      <c r="F2698" s="51" t="s">
        <v>3233</v>
      </c>
      <c r="G2698" s="51" t="s">
        <v>3233</v>
      </c>
      <c r="H2698" s="51" t="s">
        <v>3189</v>
      </c>
      <c r="I2698" s="20" t="s">
        <v>108</v>
      </c>
      <c r="J2698" s="20" t="s">
        <v>3190</v>
      </c>
      <c r="K2698" s="20" t="str">
        <f>VLOOKUP(H2698,[1]媒体表!C:T,18,0)</f>
        <v>北京多彩</v>
      </c>
      <c r="L2698" s="66" t="s">
        <v>3239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3"/>
        <v>3882.9</v>
      </c>
      <c r="W2698" s="32">
        <f t="shared" si="301"/>
        <v>0</v>
      </c>
      <c r="X2698" s="32"/>
      <c r="Y2698" s="32">
        <f t="shared" si="298"/>
        <v>0</v>
      </c>
      <c r="Z2698" s="55">
        <f t="shared" si="302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ht="14.25" spans="1:34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3189</v>
      </c>
      <c r="I2699" s="20" t="s">
        <v>108</v>
      </c>
      <c r="J2699" s="20" t="s">
        <v>3190</v>
      </c>
      <c r="K2699" s="20" t="str">
        <f>VLOOKUP(H2699,[1]媒体表!C:T,18,0)</f>
        <v>北京多彩</v>
      </c>
      <c r="L2699" s="66" t="s">
        <v>3240</v>
      </c>
      <c r="M2699" s="51"/>
      <c r="N2699" s="51" t="s">
        <v>42</v>
      </c>
      <c r="O2699" s="67" t="s">
        <v>82</v>
      </c>
      <c r="P2699" s="66">
        <v>0</v>
      </c>
      <c r="Q2699" s="68" t="s">
        <v>3241</v>
      </c>
      <c r="R2699" s="67"/>
      <c r="S2699" s="67">
        <v>159441.73</v>
      </c>
      <c r="T2699" s="67"/>
      <c r="U2699" s="67">
        <v>0</v>
      </c>
      <c r="V2699" s="67">
        <f t="shared" si="303"/>
        <v>159441.73</v>
      </c>
      <c r="W2699" s="32">
        <f t="shared" si="301"/>
        <v>0</v>
      </c>
      <c r="X2699" s="32"/>
      <c r="Y2699" s="32">
        <f t="shared" si="298"/>
        <v>0</v>
      </c>
      <c r="Z2699" s="55">
        <f t="shared" si="302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ht="14.25" spans="1:34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1791</v>
      </c>
      <c r="F2700" s="51" t="s">
        <v>1791</v>
      </c>
      <c r="G2700" s="51" t="s">
        <v>1791</v>
      </c>
      <c r="H2700" s="51" t="s">
        <v>3189</v>
      </c>
      <c r="I2700" s="20" t="s">
        <v>108</v>
      </c>
      <c r="J2700" s="20" t="s">
        <v>3190</v>
      </c>
      <c r="K2700" s="20" t="str">
        <f>VLOOKUP(H2700,[1]媒体表!C:T,18,0)</f>
        <v>北京多彩</v>
      </c>
      <c r="L2700" s="66" t="s">
        <v>3242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3"/>
        <v>7000</v>
      </c>
      <c r="W2700" s="32">
        <f t="shared" si="301"/>
        <v>0</v>
      </c>
      <c r="X2700" s="32"/>
      <c r="Y2700" s="32">
        <f t="shared" si="298"/>
        <v>0</v>
      </c>
      <c r="Z2700" s="55">
        <f t="shared" si="302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ht="14.25" spans="1:34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3189</v>
      </c>
      <c r="I2701" s="20" t="s">
        <v>108</v>
      </c>
      <c r="J2701" s="20" t="s">
        <v>3190</v>
      </c>
      <c r="K2701" s="20" t="str">
        <f>VLOOKUP(H2701,[1]媒体表!C:T,18,0)</f>
        <v>北京多彩</v>
      </c>
      <c r="L2701" s="66" t="s">
        <v>3243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</v>
      </c>
      <c r="T2701" s="67"/>
      <c r="U2701" s="67">
        <v>0</v>
      </c>
      <c r="V2701" s="67">
        <f t="shared" si="303"/>
        <v>9968.7</v>
      </c>
      <c r="W2701" s="32">
        <f t="shared" si="301"/>
        <v>0</v>
      </c>
      <c r="X2701" s="32"/>
      <c r="Y2701" s="32">
        <f t="shared" si="298"/>
        <v>0</v>
      </c>
      <c r="Z2701" s="55">
        <f t="shared" si="302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ht="14.25" spans="1:34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3244</v>
      </c>
      <c r="F2702" s="51" t="s">
        <v>3244</v>
      </c>
      <c r="G2702" s="51" t="s">
        <v>3244</v>
      </c>
      <c r="H2702" s="51" t="s">
        <v>3189</v>
      </c>
      <c r="I2702" s="20" t="s">
        <v>108</v>
      </c>
      <c r="J2702" s="20" t="s">
        <v>3190</v>
      </c>
      <c r="K2702" s="20" t="str">
        <f>VLOOKUP(H2702,[1]媒体表!C:T,18,0)</f>
        <v>北京多彩</v>
      </c>
      <c r="L2702" s="66" t="s">
        <v>3245</v>
      </c>
      <c r="M2702" s="51"/>
      <c r="N2702" s="51" t="s">
        <v>42</v>
      </c>
      <c r="O2702" s="67" t="s">
        <v>82</v>
      </c>
      <c r="P2702" s="66">
        <v>0</v>
      </c>
      <c r="Q2702" s="68" t="s">
        <v>3246</v>
      </c>
      <c r="R2702" s="67"/>
      <c r="S2702" s="67">
        <v>-2059.96</v>
      </c>
      <c r="T2702" s="67"/>
      <c r="U2702" s="67">
        <v>0</v>
      </c>
      <c r="V2702" s="67">
        <f t="shared" si="303"/>
        <v>-2059.96</v>
      </c>
      <c r="W2702" s="32">
        <f t="shared" si="301"/>
        <v>0</v>
      </c>
      <c r="X2702" s="32"/>
      <c r="Y2702" s="32">
        <f t="shared" si="298"/>
        <v>0</v>
      </c>
      <c r="Z2702" s="55">
        <f t="shared" si="302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ht="14.25" spans="1:34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3247</v>
      </c>
      <c r="M2703" s="51"/>
      <c r="N2703" s="51" t="s">
        <v>3099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3"/>
        <v>-100000</v>
      </c>
      <c r="W2703" s="67">
        <f t="shared" si="301"/>
        <v>100000</v>
      </c>
      <c r="X2703" s="67"/>
      <c r="Y2703" s="32">
        <f t="shared" si="298"/>
        <v>100000</v>
      </c>
      <c r="Z2703" s="67">
        <f t="shared" si="302"/>
        <v>0</v>
      </c>
      <c r="AA2703" s="67">
        <v>100000</v>
      </c>
      <c r="AB2703" s="66">
        <v>0.065</v>
      </c>
      <c r="AC2703" s="51"/>
      <c r="AD2703" s="51"/>
      <c r="AE2703" s="51"/>
      <c r="AF2703" s="51"/>
      <c r="AG2703" s="66"/>
      <c r="AH2703" s="38" t="e">
        <v>#N/A</v>
      </c>
    </row>
    <row r="2704" ht="14.25" spans="1:34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3099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3"/>
        <v>-105769.23</v>
      </c>
      <c r="W2704" s="32">
        <f t="shared" si="301"/>
        <v>105769.23</v>
      </c>
      <c r="X2704" s="32"/>
      <c r="Y2704" s="32">
        <f t="shared" si="298"/>
        <v>105769.23</v>
      </c>
      <c r="Z2704" s="55">
        <f t="shared" si="302"/>
        <v>0</v>
      </c>
      <c r="AA2704" s="59">
        <v>110000</v>
      </c>
      <c r="AB2704" s="58">
        <v>0.053</v>
      </c>
      <c r="AC2704" s="51"/>
      <c r="AD2704" s="51"/>
      <c r="AE2704" s="51" t="s">
        <v>3248</v>
      </c>
      <c r="AF2704" s="51" t="s">
        <v>44</v>
      </c>
      <c r="AG2704" s="58">
        <v>0</v>
      </c>
      <c r="AH2704" s="38" t="e">
        <v>#N/A</v>
      </c>
    </row>
    <row r="2705" ht="14.25" spans="1:34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2325</v>
      </c>
      <c r="I2705" s="20" t="s">
        <v>108</v>
      </c>
      <c r="J2705" s="20" t="s">
        <v>3249</v>
      </c>
      <c r="K2705" s="20" t="str">
        <f>VLOOKUP(H2705,[1]媒体表!C:T,18,0)</f>
        <v>北京多彩</v>
      </c>
      <c r="L2705" s="51" t="s">
        <v>3250</v>
      </c>
      <c r="M2705" s="51"/>
      <c r="N2705" s="51" t="s">
        <v>3251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3"/>
        <v>-150000</v>
      </c>
      <c r="W2705" s="32">
        <f t="shared" si="301"/>
        <v>142857.142857143</v>
      </c>
      <c r="X2705" s="32"/>
      <c r="Y2705" s="32">
        <f t="shared" si="298"/>
        <v>142857.142857143</v>
      </c>
      <c r="Z2705" s="55">
        <f t="shared" si="302"/>
        <v>7142.85714285716</v>
      </c>
      <c r="AA2705" s="59">
        <v>130434.782608696</v>
      </c>
      <c r="AB2705" s="58">
        <v>0</v>
      </c>
      <c r="AC2705" s="51"/>
      <c r="AD2705" s="51"/>
      <c r="AE2705" s="51" t="s">
        <v>3248</v>
      </c>
      <c r="AF2705" s="51" t="s">
        <v>44</v>
      </c>
      <c r="AG2705" s="58">
        <v>0</v>
      </c>
      <c r="AH2705" s="38" t="e">
        <v>#N/A</v>
      </c>
    </row>
    <row r="2706" ht="14.25" spans="1:34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3252</v>
      </c>
      <c r="F2706" s="51" t="s">
        <v>3252</v>
      </c>
      <c r="G2706" s="51" t="s">
        <v>3252</v>
      </c>
      <c r="H2706" s="51" t="s">
        <v>3253</v>
      </c>
      <c r="I2706" s="20" t="s">
        <v>108</v>
      </c>
      <c r="J2706" s="20" t="s">
        <v>3254</v>
      </c>
      <c r="K2706" s="20" t="str">
        <f>VLOOKUP(H2706,[1]媒体表!C:T,18,0)</f>
        <v>北京多彩</v>
      </c>
      <c r="L2706" s="51" t="s">
        <v>3252</v>
      </c>
      <c r="M2706" s="51"/>
      <c r="N2706" s="51" t="s">
        <v>3088</v>
      </c>
      <c r="O2706" s="51" t="s">
        <v>82</v>
      </c>
      <c r="P2706" s="58">
        <v>0</v>
      </c>
      <c r="Q2706" s="53"/>
      <c r="R2706" s="51" t="s">
        <v>3255</v>
      </c>
      <c r="S2706" s="59">
        <v>0</v>
      </c>
      <c r="T2706" s="59">
        <v>38323</v>
      </c>
      <c r="U2706" s="59">
        <v>39331.5</v>
      </c>
      <c r="V2706" s="59">
        <f t="shared" si="303"/>
        <v>-1008.5</v>
      </c>
      <c r="W2706" s="32">
        <f t="shared" si="301"/>
        <v>39331.5</v>
      </c>
      <c r="X2706" s="32"/>
      <c r="Y2706" s="32">
        <f t="shared" si="298"/>
        <v>39331.5</v>
      </c>
      <c r="Z2706" s="55">
        <f t="shared" si="302"/>
        <v>0</v>
      </c>
      <c r="AA2706" s="59">
        <f t="shared" ref="AA2706:AA2711" si="304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ht="14.25" spans="1:34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3252</v>
      </c>
      <c r="F2707" s="51" t="s">
        <v>3252</v>
      </c>
      <c r="G2707" s="51" t="s">
        <v>3252</v>
      </c>
      <c r="H2707" s="51" t="s">
        <v>3256</v>
      </c>
      <c r="I2707" s="20" t="s">
        <v>108</v>
      </c>
      <c r="J2707" s="20" t="s">
        <v>3257</v>
      </c>
      <c r="K2707" s="20" t="str">
        <f>VLOOKUP(H2707,[1]媒体表!C:T,18,0)</f>
        <v>北京多彩</v>
      </c>
      <c r="L2707" s="51" t="s">
        <v>3252</v>
      </c>
      <c r="M2707" s="51"/>
      <c r="N2707" s="51" t="s">
        <v>3088</v>
      </c>
      <c r="O2707" s="51" t="s">
        <v>82</v>
      </c>
      <c r="P2707" s="58">
        <v>0</v>
      </c>
      <c r="Q2707" s="53"/>
      <c r="R2707" s="51" t="s">
        <v>3255</v>
      </c>
      <c r="S2707" s="59">
        <v>0</v>
      </c>
      <c r="T2707" s="59">
        <v>449065</v>
      </c>
      <c r="U2707" s="59">
        <v>460882.5</v>
      </c>
      <c r="V2707" s="59">
        <f t="shared" si="303"/>
        <v>-11817.5</v>
      </c>
      <c r="W2707" s="32">
        <f t="shared" si="301"/>
        <v>460882.5</v>
      </c>
      <c r="X2707" s="32"/>
      <c r="Y2707" s="32">
        <f t="shared" si="298"/>
        <v>460882.5</v>
      </c>
      <c r="Z2707" s="55">
        <f t="shared" si="302"/>
        <v>0</v>
      </c>
      <c r="AA2707" s="59">
        <f t="shared" si="304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ht="14.25" spans="1:34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3252</v>
      </c>
      <c r="F2708" s="51" t="s">
        <v>3252</v>
      </c>
      <c r="G2708" s="51" t="s">
        <v>3252</v>
      </c>
      <c r="H2708" s="51" t="s">
        <v>3258</v>
      </c>
      <c r="I2708" s="20" t="s">
        <v>108</v>
      </c>
      <c r="J2708" s="20" t="s">
        <v>3259</v>
      </c>
      <c r="K2708" s="20" t="str">
        <f>VLOOKUP(H2708,[1]媒体表!C:T,18,0)</f>
        <v>北京多彩</v>
      </c>
      <c r="L2708" s="51" t="s">
        <v>3252</v>
      </c>
      <c r="M2708" s="51"/>
      <c r="N2708" s="51" t="s">
        <v>3088</v>
      </c>
      <c r="O2708" s="51" t="s">
        <v>82</v>
      </c>
      <c r="P2708" s="58">
        <v>0</v>
      </c>
      <c r="Q2708" s="53"/>
      <c r="R2708" s="51" t="s">
        <v>3255</v>
      </c>
      <c r="S2708" s="59">
        <v>0</v>
      </c>
      <c r="T2708" s="59">
        <v>630933</v>
      </c>
      <c r="U2708" s="59">
        <v>647536.5</v>
      </c>
      <c r="V2708" s="59">
        <f t="shared" si="303"/>
        <v>-16603.5</v>
      </c>
      <c r="W2708" s="32">
        <f t="shared" si="301"/>
        <v>647536.5</v>
      </c>
      <c r="X2708" s="32"/>
      <c r="Y2708" s="32">
        <f t="shared" si="298"/>
        <v>647536.5</v>
      </c>
      <c r="Z2708" s="55">
        <f t="shared" si="302"/>
        <v>0</v>
      </c>
      <c r="AA2708" s="59">
        <f t="shared" si="304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ht="14.25" spans="1:34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3252</v>
      </c>
      <c r="F2709" s="51" t="s">
        <v>3252</v>
      </c>
      <c r="G2709" s="51" t="s">
        <v>3252</v>
      </c>
      <c r="H2709" s="51" t="s">
        <v>3260</v>
      </c>
      <c r="I2709" s="20" t="s">
        <v>108</v>
      </c>
      <c r="J2709" s="20" t="s">
        <v>3261</v>
      </c>
      <c r="K2709" s="20" t="str">
        <f>VLOOKUP(H2709,[1]媒体表!C:T,18,0)</f>
        <v>北京多彩</v>
      </c>
      <c r="L2709" s="51" t="s">
        <v>3252</v>
      </c>
      <c r="M2709" s="51"/>
      <c r="N2709" s="51" t="s">
        <v>3088</v>
      </c>
      <c r="O2709" s="51" t="s">
        <v>82</v>
      </c>
      <c r="P2709" s="58">
        <v>0</v>
      </c>
      <c r="Q2709" s="53"/>
      <c r="R2709" s="51" t="s">
        <v>3255</v>
      </c>
      <c r="S2709" s="59">
        <v>0</v>
      </c>
      <c r="T2709" s="59">
        <v>148922</v>
      </c>
      <c r="U2709" s="59">
        <v>152841</v>
      </c>
      <c r="V2709" s="59">
        <f t="shared" si="303"/>
        <v>-3919</v>
      </c>
      <c r="W2709" s="32">
        <f t="shared" si="301"/>
        <v>152841</v>
      </c>
      <c r="X2709" s="32"/>
      <c r="Y2709" s="32">
        <f t="shared" si="298"/>
        <v>152841</v>
      </c>
      <c r="Z2709" s="55">
        <f t="shared" si="302"/>
        <v>0</v>
      </c>
      <c r="AA2709" s="59">
        <f t="shared" si="304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ht="14.25" spans="1:34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3252</v>
      </c>
      <c r="F2710" s="51" t="s">
        <v>3252</v>
      </c>
      <c r="G2710" s="51" t="s">
        <v>3252</v>
      </c>
      <c r="H2710" s="51" t="s">
        <v>3262</v>
      </c>
      <c r="I2710" s="20" t="s">
        <v>108</v>
      </c>
      <c r="J2710" s="20" t="s">
        <v>3263</v>
      </c>
      <c r="K2710" s="20" t="str">
        <f>VLOOKUP(H2710,[1]媒体表!C:T,18,0)</f>
        <v>北京多彩</v>
      </c>
      <c r="L2710" s="51" t="s">
        <v>3252</v>
      </c>
      <c r="M2710" s="51"/>
      <c r="N2710" s="51" t="s">
        <v>3088</v>
      </c>
      <c r="O2710" s="51" t="s">
        <v>82</v>
      </c>
      <c r="P2710" s="58">
        <v>0</v>
      </c>
      <c r="Q2710" s="53"/>
      <c r="R2710" s="51" t="s">
        <v>3255</v>
      </c>
      <c r="S2710" s="59">
        <v>0</v>
      </c>
      <c r="T2710" s="59">
        <v>92169</v>
      </c>
      <c r="U2710" s="59">
        <v>94594.5</v>
      </c>
      <c r="V2710" s="59">
        <f t="shared" si="303"/>
        <v>-2425.5</v>
      </c>
      <c r="W2710" s="32">
        <f t="shared" si="301"/>
        <v>94594.5</v>
      </c>
      <c r="X2710" s="32"/>
      <c r="Y2710" s="32">
        <f t="shared" si="298"/>
        <v>94594.5</v>
      </c>
      <c r="Z2710" s="55">
        <f t="shared" si="302"/>
        <v>0</v>
      </c>
      <c r="AA2710" s="59">
        <f t="shared" si="304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ht="14.25" spans="1:34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3252</v>
      </c>
      <c r="F2711" s="51" t="s">
        <v>3252</v>
      </c>
      <c r="G2711" s="51" t="s">
        <v>3252</v>
      </c>
      <c r="H2711" s="51" t="s">
        <v>72</v>
      </c>
      <c r="I2711" s="20" t="s">
        <v>108</v>
      </c>
      <c r="J2711" s="20" t="s">
        <v>3264</v>
      </c>
      <c r="K2711" s="20" t="str">
        <f>VLOOKUP(H2711,[1]媒体表!C:T,18,0)</f>
        <v>北京多彩</v>
      </c>
      <c r="L2711" s="51" t="s">
        <v>3252</v>
      </c>
      <c r="M2711" s="51"/>
      <c r="N2711" s="51" t="s">
        <v>3088</v>
      </c>
      <c r="O2711" s="51" t="s">
        <v>82</v>
      </c>
      <c r="P2711" s="58">
        <v>0</v>
      </c>
      <c r="Q2711" s="53"/>
      <c r="R2711" s="51" t="s">
        <v>3255</v>
      </c>
      <c r="S2711" s="59">
        <v>0</v>
      </c>
      <c r="T2711" s="59">
        <v>14592</v>
      </c>
      <c r="U2711" s="59">
        <v>14976</v>
      </c>
      <c r="V2711" s="59">
        <f t="shared" si="303"/>
        <v>-384</v>
      </c>
      <c r="W2711" s="32">
        <f t="shared" si="301"/>
        <v>14976</v>
      </c>
      <c r="X2711" s="32"/>
      <c r="Y2711" s="32">
        <f t="shared" si="298"/>
        <v>14976</v>
      </c>
      <c r="Z2711" s="55">
        <f t="shared" si="302"/>
        <v>0</v>
      </c>
      <c r="AA2711" s="59">
        <f t="shared" si="304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ht="14.25" spans="1:34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3099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3"/>
        <v>100000</v>
      </c>
      <c r="W2712" s="32">
        <f t="shared" si="301"/>
        <v>0</v>
      </c>
      <c r="X2712" s="32"/>
      <c r="Y2712" s="32">
        <f t="shared" si="298"/>
        <v>0</v>
      </c>
      <c r="Z2712" s="55">
        <f t="shared" si="302"/>
        <v>0</v>
      </c>
      <c r="AA2712" s="59">
        <f t="shared" ref="AA2712:AA2718" si="305">U2712</f>
        <v>0</v>
      </c>
      <c r="AB2712" s="58">
        <v>0.053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ht="14.25" spans="1:34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3099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3"/>
        <v>-82718.77</v>
      </c>
      <c r="W2713" s="32">
        <f t="shared" si="301"/>
        <v>127880</v>
      </c>
      <c r="X2713" s="32"/>
      <c r="Y2713" s="32">
        <f t="shared" si="298"/>
        <v>127880</v>
      </c>
      <c r="Z2713" s="55">
        <f t="shared" si="302"/>
        <v>0</v>
      </c>
      <c r="AA2713" s="59">
        <f t="shared" si="305"/>
        <v>127880</v>
      </c>
      <c r="AB2713" s="58">
        <v>0.053</v>
      </c>
      <c r="AC2713" s="51"/>
      <c r="AD2713" s="51"/>
      <c r="AE2713" s="51" t="s">
        <v>3265</v>
      </c>
      <c r="AF2713" s="51" t="s">
        <v>53</v>
      </c>
      <c r="AG2713" s="58">
        <v>0</v>
      </c>
      <c r="AH2713" s="38" t="e">
        <v>#N/A</v>
      </c>
    </row>
    <row r="2714" ht="14.25" spans="1:34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3099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3"/>
        <v>0</v>
      </c>
      <c r="W2714" s="32">
        <f t="shared" si="301"/>
        <v>0</v>
      </c>
      <c r="X2714" s="32"/>
      <c r="Y2714" s="32">
        <f t="shared" ref="Y2714:Y2777" si="306">W2714+X2714</f>
        <v>0</v>
      </c>
      <c r="Z2714" s="55">
        <f t="shared" si="302"/>
        <v>0</v>
      </c>
      <c r="AA2714" s="59">
        <f t="shared" si="305"/>
        <v>0</v>
      </c>
      <c r="AB2714" s="58">
        <v>0.053</v>
      </c>
      <c r="AC2714" s="51"/>
      <c r="AD2714" s="51"/>
      <c r="AE2714" s="51"/>
      <c r="AF2714" s="51"/>
      <c r="AG2714" s="58"/>
      <c r="AH2714" s="38" t="e">
        <v>#N/A</v>
      </c>
    </row>
    <row r="2715" ht="14.25" spans="1:34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3099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3"/>
        <v>0</v>
      </c>
      <c r="W2715" s="32">
        <f t="shared" si="301"/>
        <v>0</v>
      </c>
      <c r="X2715" s="32"/>
      <c r="Y2715" s="32">
        <f t="shared" si="306"/>
        <v>0</v>
      </c>
      <c r="Z2715" s="55">
        <f t="shared" si="302"/>
        <v>0</v>
      </c>
      <c r="AA2715" s="59">
        <f t="shared" si="305"/>
        <v>0</v>
      </c>
      <c r="AB2715" s="58">
        <v>0.053</v>
      </c>
      <c r="AC2715" s="51"/>
      <c r="AD2715" s="51"/>
      <c r="AE2715" s="51"/>
      <c r="AF2715" s="51"/>
      <c r="AG2715" s="58"/>
      <c r="AH2715" s="38" t="e">
        <v>#N/A</v>
      </c>
    </row>
    <row r="2716" ht="14.25" spans="1:34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3099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3"/>
        <v>10000</v>
      </c>
      <c r="W2716" s="32">
        <f t="shared" si="301"/>
        <v>0</v>
      </c>
      <c r="X2716" s="32"/>
      <c r="Y2716" s="32">
        <f t="shared" si="306"/>
        <v>0</v>
      </c>
      <c r="Z2716" s="55">
        <f t="shared" si="302"/>
        <v>0</v>
      </c>
      <c r="AA2716" s="59">
        <f t="shared" si="305"/>
        <v>0</v>
      </c>
      <c r="AB2716" s="58">
        <v>0.053</v>
      </c>
      <c r="AC2716" s="51"/>
      <c r="AD2716" s="51"/>
      <c r="AE2716" s="51" t="s">
        <v>3266</v>
      </c>
      <c r="AF2716" s="51"/>
      <c r="AG2716" s="58"/>
      <c r="AH2716" s="38" t="e">
        <v>#N/A</v>
      </c>
    </row>
    <row r="2717" ht="14.25" spans="1:34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3099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3"/>
        <v>100000</v>
      </c>
      <c r="W2717" s="32">
        <f t="shared" si="301"/>
        <v>0</v>
      </c>
      <c r="X2717" s="32"/>
      <c r="Y2717" s="32">
        <f t="shared" si="306"/>
        <v>0</v>
      </c>
      <c r="Z2717" s="55">
        <f t="shared" si="302"/>
        <v>0</v>
      </c>
      <c r="AA2717" s="59">
        <f t="shared" si="305"/>
        <v>0</v>
      </c>
      <c r="AB2717" s="58">
        <v>0.053</v>
      </c>
      <c r="AC2717" s="51"/>
      <c r="AD2717" s="51"/>
      <c r="AE2717" s="51" t="s">
        <v>3266</v>
      </c>
      <c r="AF2717" s="51"/>
      <c r="AG2717" s="58"/>
      <c r="AH2717" s="38" t="e">
        <v>#N/A</v>
      </c>
    </row>
    <row r="2718" ht="14.25" spans="1:34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2025</v>
      </c>
      <c r="F2718" s="51" t="s">
        <v>2025</v>
      </c>
      <c r="G2718" s="51" t="s">
        <v>2025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2025</v>
      </c>
      <c r="M2718" s="51"/>
      <c r="N2718" s="51" t="s">
        <v>3099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3"/>
        <v>210000</v>
      </c>
      <c r="W2718" s="32">
        <f t="shared" si="301"/>
        <v>0</v>
      </c>
      <c r="X2718" s="32"/>
      <c r="Y2718" s="32">
        <f t="shared" si="306"/>
        <v>0</v>
      </c>
      <c r="Z2718" s="55">
        <f t="shared" si="302"/>
        <v>0</v>
      </c>
      <c r="AA2718" s="59">
        <f t="shared" si="305"/>
        <v>0</v>
      </c>
      <c r="AB2718" s="58">
        <v>0.053</v>
      </c>
      <c r="AC2718" s="51"/>
      <c r="AD2718" s="51"/>
      <c r="AE2718" s="51" t="s">
        <v>3266</v>
      </c>
      <c r="AF2718" s="51"/>
      <c r="AG2718" s="58"/>
      <c r="AH2718" s="38" t="e">
        <v>#N/A</v>
      </c>
    </row>
    <row r="2719" ht="14.25" spans="1:34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3252</v>
      </c>
      <c r="F2719" s="51" t="s">
        <v>3252</v>
      </c>
      <c r="G2719" s="51" t="s">
        <v>3252</v>
      </c>
      <c r="H2719" s="51" t="s">
        <v>3267</v>
      </c>
      <c r="I2719" s="20" t="s">
        <v>108</v>
      </c>
      <c r="J2719" s="20" t="s">
        <v>3268</v>
      </c>
      <c r="K2719" s="20" t="str">
        <f>VLOOKUP(H2719,[1]媒体表!C:T,18,0)</f>
        <v>北京多彩</v>
      </c>
      <c r="L2719" s="51" t="s">
        <v>3252</v>
      </c>
      <c r="M2719" s="51"/>
      <c r="N2719" s="51" t="s">
        <v>3088</v>
      </c>
      <c r="O2719" s="51" t="s">
        <v>82</v>
      </c>
      <c r="P2719" s="58">
        <v>0</v>
      </c>
      <c r="Q2719" s="53"/>
      <c r="R2719" s="51" t="s">
        <v>3255</v>
      </c>
      <c r="S2719" s="59"/>
      <c r="T2719" s="59">
        <v>0</v>
      </c>
      <c r="U2719" s="59">
        <v>994.5</v>
      </c>
      <c r="V2719" s="59">
        <f t="shared" si="303"/>
        <v>-994.5</v>
      </c>
      <c r="W2719" s="32">
        <f t="shared" si="301"/>
        <v>994.5</v>
      </c>
      <c r="X2719" s="32"/>
      <c r="Y2719" s="32">
        <f t="shared" si="306"/>
        <v>994.5</v>
      </c>
      <c r="Z2719" s="55">
        <f t="shared" si="302"/>
        <v>0</v>
      </c>
      <c r="AA2719" s="59">
        <f>T2719</f>
        <v>0</v>
      </c>
      <c r="AB2719" s="58">
        <v>0</v>
      </c>
      <c r="AC2719" s="51"/>
      <c r="AD2719" s="51"/>
      <c r="AE2719" s="51" t="s">
        <v>3266</v>
      </c>
      <c r="AF2719" s="51"/>
      <c r="AG2719" s="58"/>
      <c r="AH2719" s="38" t="e">
        <v>#N/A</v>
      </c>
    </row>
    <row r="2720" ht="14.25" spans="1:34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1737</v>
      </c>
      <c r="F2720" s="51" t="s">
        <v>1738</v>
      </c>
      <c r="G2720" s="51" t="s">
        <v>1737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1737</v>
      </c>
      <c r="M2720" s="51"/>
      <c r="N2720" s="51" t="s">
        <v>3099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3"/>
        <v>0</v>
      </c>
      <c r="W2720" s="32">
        <f t="shared" si="301"/>
        <v>105000</v>
      </c>
      <c r="X2720" s="32"/>
      <c r="Y2720" s="32">
        <f t="shared" si="306"/>
        <v>105000</v>
      </c>
      <c r="Z2720" s="55">
        <f t="shared" si="302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ht="14.25" spans="1:34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1796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3099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3"/>
        <v>0</v>
      </c>
      <c r="W2721" s="32">
        <f t="shared" si="301"/>
        <v>0</v>
      </c>
      <c r="X2721" s="32"/>
      <c r="Y2721" s="32">
        <f t="shared" si="306"/>
        <v>0</v>
      </c>
      <c r="Z2721" s="55">
        <f t="shared" si="302"/>
        <v>0</v>
      </c>
      <c r="AA2721" s="59"/>
      <c r="AB2721" s="58">
        <v>0.17</v>
      </c>
      <c r="AC2721" s="51"/>
      <c r="AD2721" s="51"/>
      <c r="AE2721" s="51" t="s">
        <v>3269</v>
      </c>
      <c r="AF2721" s="51" t="s">
        <v>44</v>
      </c>
      <c r="AG2721" s="58">
        <v>0</v>
      </c>
      <c r="AH2721" s="38" t="e">
        <v>#N/A</v>
      </c>
    </row>
    <row r="2722" ht="14.25" spans="1:34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3270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3"/>
        <v>-8330.4</v>
      </c>
      <c r="W2722" s="32">
        <f t="shared" si="301"/>
        <v>8330.4</v>
      </c>
      <c r="X2722" s="32"/>
      <c r="Y2722" s="32">
        <f t="shared" si="306"/>
        <v>8330.4</v>
      </c>
      <c r="Z2722" s="55">
        <f t="shared" si="302"/>
        <v>0</v>
      </c>
      <c r="AA2722" s="59">
        <v>8330.4</v>
      </c>
      <c r="AB2722" s="58">
        <v>0.17</v>
      </c>
      <c r="AC2722" s="51"/>
      <c r="AD2722" s="51"/>
      <c r="AE2722" s="51" t="s">
        <v>3266</v>
      </c>
      <c r="AF2722" s="51"/>
      <c r="AG2722" s="58"/>
      <c r="AH2722" s="38" t="e">
        <v>#N/A</v>
      </c>
    </row>
    <row r="2723" ht="14.25" spans="1:34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3153</v>
      </c>
      <c r="I2723" s="20" t="s">
        <v>2000</v>
      </c>
      <c r="J2723" s="20" t="s">
        <v>3154</v>
      </c>
      <c r="K2723" s="20" t="str">
        <f>VLOOKUP(H2723,[1]媒体表!C:T,18,0)</f>
        <v>北京多彩</v>
      </c>
      <c r="L2723" s="51" t="s">
        <v>2870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6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ht="14.25" spans="1:34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3153</v>
      </c>
      <c r="I2724" s="20" t="s">
        <v>2000</v>
      </c>
      <c r="J2724" s="20" t="s">
        <v>3154</v>
      </c>
      <c r="K2724" s="20" t="str">
        <f>VLOOKUP(H2724,[1]媒体表!C:T,18,0)</f>
        <v>北京多彩</v>
      </c>
      <c r="L2724" s="51" t="s">
        <v>2870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</v>
      </c>
      <c r="Y2724" s="32">
        <f t="shared" si="306"/>
        <v>26523.36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ht="14.25" spans="1:34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3153</v>
      </c>
      <c r="I2725" s="20" t="s">
        <v>2000</v>
      </c>
      <c r="J2725" s="20" t="s">
        <v>3154</v>
      </c>
      <c r="K2725" s="20" t="str">
        <f>VLOOKUP(H2725,[1]媒体表!C:T,18,0)</f>
        <v>北京多彩</v>
      </c>
      <c r="L2725" s="66" t="s">
        <v>3200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6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ht="14.25" spans="1:34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3271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6156.73636363637</v>
      </c>
      <c r="V2726" s="76"/>
      <c r="W2726" s="76">
        <v>6156.73636363637</v>
      </c>
      <c r="X2726" s="76"/>
      <c r="Y2726" s="32">
        <f t="shared" si="306"/>
        <v>6156.73636363637</v>
      </c>
      <c r="Z2726" s="76"/>
      <c r="AA2726" s="75">
        <f t="shared" ref="AA2726:AA2773" si="307">U2726</f>
        <v>6156.73636363637</v>
      </c>
      <c r="AB2726" s="72">
        <v>0</v>
      </c>
      <c r="AC2726" s="79"/>
      <c r="AD2726" s="79"/>
      <c r="AE2726" s="75" t="s">
        <v>3150</v>
      </c>
      <c r="AF2726" s="75" t="s">
        <v>53</v>
      </c>
      <c r="AG2726" s="72">
        <v>0</v>
      </c>
      <c r="AH2726" s="38" t="e">
        <v>#N/A</v>
      </c>
    </row>
    <row r="2727" ht="14.25" spans="1:34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3271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6"/>
        <v>303935.2</v>
      </c>
      <c r="Z2727" s="76"/>
      <c r="AA2727" s="75">
        <f t="shared" si="307"/>
        <v>303935.2</v>
      </c>
      <c r="AB2727" s="72">
        <v>0</v>
      </c>
      <c r="AC2727" s="79"/>
      <c r="AD2727" s="79"/>
      <c r="AE2727" s="75" t="s">
        <v>3150</v>
      </c>
      <c r="AF2727" s="75" t="s">
        <v>44</v>
      </c>
      <c r="AG2727" s="72">
        <v>0</v>
      </c>
      <c r="AH2727" s="38" t="e">
        <v>#N/A</v>
      </c>
    </row>
    <row r="2728" ht="14.25" spans="1:34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3271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</v>
      </c>
      <c r="V2728" s="76"/>
      <c r="W2728" s="76">
        <v>25259.2</v>
      </c>
      <c r="X2728" s="76"/>
      <c r="Y2728" s="32">
        <f t="shared" si="306"/>
        <v>25259.2</v>
      </c>
      <c r="Z2728" s="76"/>
      <c r="AA2728" s="75">
        <f t="shared" si="307"/>
        <v>25259.2</v>
      </c>
      <c r="AB2728" s="72">
        <v>0</v>
      </c>
      <c r="AC2728" s="79"/>
      <c r="AD2728" s="79"/>
      <c r="AE2728" s="75" t="s">
        <v>3150</v>
      </c>
      <c r="AF2728" s="75" t="s">
        <v>44</v>
      </c>
      <c r="AG2728" s="72">
        <v>0</v>
      </c>
      <c r="AH2728" s="38" t="e">
        <v>#N/A</v>
      </c>
    </row>
    <row r="2729" ht="14.25" spans="1:34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3271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69093.5294117647</v>
      </c>
      <c r="V2729" s="76"/>
      <c r="W2729" s="76">
        <v>69093.5294117647</v>
      </c>
      <c r="X2729" s="76"/>
      <c r="Y2729" s="32">
        <f t="shared" si="306"/>
        <v>69093.5294117647</v>
      </c>
      <c r="Z2729" s="76"/>
      <c r="AA2729" s="75">
        <f t="shared" si="307"/>
        <v>69093.5294117647</v>
      </c>
      <c r="AB2729" s="72">
        <v>0</v>
      </c>
      <c r="AC2729" s="79"/>
      <c r="AD2729" s="79"/>
      <c r="AE2729" s="75" t="s">
        <v>3150</v>
      </c>
      <c r="AF2729" s="75" t="s">
        <v>44</v>
      </c>
      <c r="AG2729" s="72">
        <v>0</v>
      </c>
      <c r="AH2729" s="38" t="e">
        <v>#N/A</v>
      </c>
    </row>
    <row r="2730" ht="14.25" spans="1:34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3271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6"/>
        <v>53805.07</v>
      </c>
      <c r="Z2730" s="76"/>
      <c r="AA2730" s="75">
        <f t="shared" si="307"/>
        <v>53805.07</v>
      </c>
      <c r="AB2730" s="72">
        <v>0</v>
      </c>
      <c r="AC2730" s="79"/>
      <c r="AD2730" s="79"/>
      <c r="AE2730" s="75" t="s">
        <v>3150</v>
      </c>
      <c r="AF2730" s="75" t="s">
        <v>44</v>
      </c>
      <c r="AG2730" s="72">
        <v>0</v>
      </c>
      <c r="AH2730" s="38" t="e">
        <v>#N/A</v>
      </c>
    </row>
    <row r="2731" ht="14.25" spans="1:34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3271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6"/>
        <v>102111.88</v>
      </c>
      <c r="Z2731" s="76"/>
      <c r="AA2731" s="75">
        <f t="shared" si="307"/>
        <v>102111.88</v>
      </c>
      <c r="AB2731" s="72">
        <v>0</v>
      </c>
      <c r="AC2731" s="79"/>
      <c r="AD2731" s="79"/>
      <c r="AE2731" s="75" t="s">
        <v>3150</v>
      </c>
      <c r="AF2731" s="75" t="s">
        <v>44</v>
      </c>
      <c r="AG2731" s="72">
        <v>0</v>
      </c>
      <c r="AH2731" s="38" t="e">
        <v>#N/A</v>
      </c>
    </row>
    <row r="2732" ht="14.25" spans="1:34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3271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6"/>
        <v>5143.2</v>
      </c>
      <c r="Z2732" s="76"/>
      <c r="AA2732" s="75">
        <f t="shared" si="307"/>
        <v>5143.2</v>
      </c>
      <c r="AB2732" s="72">
        <v>0</v>
      </c>
      <c r="AC2732" s="79"/>
      <c r="AD2732" s="79"/>
      <c r="AE2732" s="75" t="s">
        <v>3150</v>
      </c>
      <c r="AF2732" s="75" t="s">
        <v>44</v>
      </c>
      <c r="AG2732" s="72">
        <v>0</v>
      </c>
      <c r="AH2732" s="38" t="e">
        <v>#N/A</v>
      </c>
    </row>
    <row r="2733" ht="14.25" spans="1:34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3271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</v>
      </c>
      <c r="V2733" s="76"/>
      <c r="W2733" s="76">
        <v>3810.91176470588</v>
      </c>
      <c r="X2733" s="76"/>
      <c r="Y2733" s="32">
        <f t="shared" si="306"/>
        <v>3810.91176470588</v>
      </c>
      <c r="Z2733" s="76"/>
      <c r="AA2733" s="75">
        <f t="shared" si="307"/>
        <v>3810.91176470588</v>
      </c>
      <c r="AB2733" s="72">
        <v>0</v>
      </c>
      <c r="AC2733" s="79"/>
      <c r="AD2733" s="79"/>
      <c r="AE2733" s="75" t="s">
        <v>3150</v>
      </c>
      <c r="AF2733" s="75" t="s">
        <v>44</v>
      </c>
      <c r="AG2733" s="72">
        <v>0</v>
      </c>
      <c r="AH2733" s="38" t="e">
        <v>#N/A</v>
      </c>
    </row>
    <row r="2734" ht="14.25" spans="1:34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3271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6"/>
        <v>2000</v>
      </c>
      <c r="Z2734" s="76"/>
      <c r="AA2734" s="75">
        <f t="shared" si="307"/>
        <v>2000</v>
      </c>
      <c r="AB2734" s="72">
        <v>0</v>
      </c>
      <c r="AC2734" s="79"/>
      <c r="AD2734" s="79"/>
      <c r="AE2734" s="75" t="s">
        <v>3150</v>
      </c>
      <c r="AF2734" s="75" t="s">
        <v>44</v>
      </c>
      <c r="AG2734" s="72">
        <v>0</v>
      </c>
      <c r="AH2734" s="38" t="e">
        <v>#N/A</v>
      </c>
    </row>
    <row r="2735" ht="14.25" spans="1:34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3271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6"/>
        <v>66449.3</v>
      </c>
      <c r="Z2735" s="76"/>
      <c r="AA2735" s="75">
        <f t="shared" si="307"/>
        <v>66449.3</v>
      </c>
      <c r="AB2735" s="72">
        <v>0</v>
      </c>
      <c r="AC2735" s="79"/>
      <c r="AD2735" s="79"/>
      <c r="AE2735" s="75" t="s">
        <v>3150</v>
      </c>
      <c r="AF2735" s="75" t="s">
        <v>44</v>
      </c>
      <c r="AG2735" s="72">
        <v>0</v>
      </c>
      <c r="AH2735" s="38" t="e">
        <v>#N/A</v>
      </c>
    </row>
    <row r="2736" ht="14.25" spans="1:34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3271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6"/>
        <v>191795.8</v>
      </c>
      <c r="Z2736" s="76"/>
      <c r="AA2736" s="75">
        <f t="shared" si="307"/>
        <v>191795.8</v>
      </c>
      <c r="AB2736" s="72">
        <v>0</v>
      </c>
      <c r="AC2736" s="79"/>
      <c r="AD2736" s="79"/>
      <c r="AE2736" s="75" t="s">
        <v>3150</v>
      </c>
      <c r="AF2736" s="75" t="s">
        <v>44</v>
      </c>
      <c r="AG2736" s="72">
        <v>0</v>
      </c>
      <c r="AH2736" s="38" t="e">
        <v>#N/A</v>
      </c>
    </row>
    <row r="2737" ht="14.25" spans="1:34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3271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24720.2025</v>
      </c>
      <c r="V2737" s="76"/>
      <c r="W2737" s="76">
        <v>23543.05</v>
      </c>
      <c r="X2737" s="76">
        <v>1177.1525</v>
      </c>
      <c r="Y2737" s="32">
        <f t="shared" si="306"/>
        <v>24720.2025</v>
      </c>
      <c r="Z2737" s="76"/>
      <c r="AA2737" s="75">
        <f t="shared" si="307"/>
        <v>24720.2025</v>
      </c>
      <c r="AB2737" s="72">
        <v>0</v>
      </c>
      <c r="AC2737" s="79"/>
      <c r="AD2737" s="79"/>
      <c r="AE2737" s="75" t="s">
        <v>3150</v>
      </c>
      <c r="AF2737" s="75" t="s">
        <v>44</v>
      </c>
      <c r="AG2737" s="72">
        <v>0</v>
      </c>
      <c r="AH2737" s="38" t="e">
        <v>#N/A</v>
      </c>
    </row>
    <row r="2738" ht="14.25" spans="1:34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3271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</v>
      </c>
      <c r="V2738" s="76"/>
      <c r="W2738" s="76">
        <v>40439.1904761905</v>
      </c>
      <c r="X2738" s="76"/>
      <c r="Y2738" s="32">
        <f t="shared" si="306"/>
        <v>40439.1904761905</v>
      </c>
      <c r="Z2738" s="76"/>
      <c r="AA2738" s="75">
        <f t="shared" si="307"/>
        <v>40439.1904761905</v>
      </c>
      <c r="AB2738" s="72">
        <v>0</v>
      </c>
      <c r="AC2738" s="79"/>
      <c r="AD2738" s="79"/>
      <c r="AE2738" s="75" t="s">
        <v>3150</v>
      </c>
      <c r="AF2738" s="75" t="s">
        <v>44</v>
      </c>
      <c r="AG2738" s="72">
        <v>0</v>
      </c>
      <c r="AH2738" s="38" t="e">
        <v>#N/A</v>
      </c>
    </row>
    <row r="2739" ht="14.25" spans="1:34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3271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6"/>
        <v>40991.35</v>
      </c>
      <c r="Z2739" s="76"/>
      <c r="AA2739" s="75">
        <f t="shared" si="307"/>
        <v>40991.35</v>
      </c>
      <c r="AB2739" s="72">
        <v>0</v>
      </c>
      <c r="AC2739" s="79"/>
      <c r="AD2739" s="79"/>
      <c r="AE2739" s="75" t="s">
        <v>3150</v>
      </c>
      <c r="AF2739" s="75" t="s">
        <v>44</v>
      </c>
      <c r="AG2739" s="72">
        <v>0</v>
      </c>
      <c r="AH2739" s="38" t="e">
        <v>#N/A</v>
      </c>
    </row>
    <row r="2740" ht="14.25" spans="1:34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3271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6517.72380952381</v>
      </c>
      <c r="V2740" s="76"/>
      <c r="W2740" s="76">
        <v>6517.72380952381</v>
      </c>
      <c r="X2740" s="76"/>
      <c r="Y2740" s="32">
        <f t="shared" si="306"/>
        <v>6517.72380952381</v>
      </c>
      <c r="Z2740" s="76"/>
      <c r="AA2740" s="75">
        <f t="shared" si="307"/>
        <v>6517.72380952381</v>
      </c>
      <c r="AB2740" s="72">
        <v>0</v>
      </c>
      <c r="AC2740" s="79"/>
      <c r="AD2740" s="79"/>
      <c r="AE2740" s="75" t="s">
        <v>3150</v>
      </c>
      <c r="AF2740" s="75" t="s">
        <v>44</v>
      </c>
      <c r="AG2740" s="72">
        <v>0</v>
      </c>
      <c r="AH2740" s="38" t="e">
        <v>#N/A</v>
      </c>
    </row>
    <row r="2741" ht="14.25" spans="1:34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3271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6"/>
        <v>57901.19</v>
      </c>
      <c r="Z2741" s="76"/>
      <c r="AA2741" s="75">
        <f t="shared" si="307"/>
        <v>57901.19</v>
      </c>
      <c r="AB2741" s="72">
        <v>0</v>
      </c>
      <c r="AC2741" s="79"/>
      <c r="AD2741" s="79"/>
      <c r="AE2741" s="75" t="s">
        <v>3150</v>
      </c>
      <c r="AF2741" s="75" t="s">
        <v>44</v>
      </c>
      <c r="AG2741" s="72">
        <v>0</v>
      </c>
      <c r="AH2741" s="38" t="e">
        <v>#N/A</v>
      </c>
    </row>
    <row r="2742" ht="14.25" spans="1:34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3271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6"/>
        <v>85838.39</v>
      </c>
      <c r="Z2742" s="76"/>
      <c r="AA2742" s="75">
        <f t="shared" si="307"/>
        <v>85838.39</v>
      </c>
      <c r="AB2742" s="72">
        <v>0</v>
      </c>
      <c r="AC2742" s="79"/>
      <c r="AD2742" s="79"/>
      <c r="AE2742" s="75" t="s">
        <v>3150</v>
      </c>
      <c r="AF2742" s="75" t="s">
        <v>44</v>
      </c>
      <c r="AG2742" s="72">
        <v>0</v>
      </c>
      <c r="AH2742" s="38" t="e">
        <v>#N/A</v>
      </c>
    </row>
    <row r="2743" ht="14.25" spans="1:34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3271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6"/>
        <v>163136</v>
      </c>
      <c r="Z2743" s="76"/>
      <c r="AA2743" s="75">
        <f t="shared" si="307"/>
        <v>163136</v>
      </c>
      <c r="AB2743" s="72">
        <v>0</v>
      </c>
      <c r="AC2743" s="79"/>
      <c r="AD2743" s="79"/>
      <c r="AE2743" s="75" t="s">
        <v>3150</v>
      </c>
      <c r="AF2743" s="75" t="s">
        <v>44</v>
      </c>
      <c r="AG2743" s="72">
        <v>0</v>
      </c>
      <c r="AH2743" s="38" t="e">
        <v>#N/A</v>
      </c>
    </row>
    <row r="2744" ht="14.25" spans="1:34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3271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20564.5490196078</v>
      </c>
      <c r="V2744" s="76"/>
      <c r="W2744" s="76">
        <v>20564.5490196078</v>
      </c>
      <c r="X2744" s="76"/>
      <c r="Y2744" s="32">
        <f t="shared" si="306"/>
        <v>20564.5490196078</v>
      </c>
      <c r="Z2744" s="76"/>
      <c r="AA2744" s="75">
        <f t="shared" si="307"/>
        <v>20564.5490196078</v>
      </c>
      <c r="AB2744" s="72">
        <v>0</v>
      </c>
      <c r="AC2744" s="79"/>
      <c r="AD2744" s="79"/>
      <c r="AE2744" s="75" t="s">
        <v>3150</v>
      </c>
      <c r="AF2744" s="75" t="s">
        <v>53</v>
      </c>
      <c r="AG2744" s="72"/>
      <c r="AH2744" s="38" t="e">
        <v>#N/A</v>
      </c>
    </row>
    <row r="2745" ht="14.25" spans="1:34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3271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</v>
      </c>
      <c r="V2745" s="76"/>
      <c r="W2745" s="76">
        <v>37484.3725490196</v>
      </c>
      <c r="X2745" s="76"/>
      <c r="Y2745" s="32">
        <f t="shared" si="306"/>
        <v>37484.3725490196</v>
      </c>
      <c r="Z2745" s="76"/>
      <c r="AA2745" s="75">
        <f t="shared" si="307"/>
        <v>37484.3725490196</v>
      </c>
      <c r="AB2745" s="72">
        <v>0</v>
      </c>
      <c r="AC2745" s="79"/>
      <c r="AD2745" s="79"/>
      <c r="AE2745" s="75" t="s">
        <v>3150</v>
      </c>
      <c r="AF2745" s="75" t="s">
        <v>53</v>
      </c>
      <c r="AG2745" s="72"/>
      <c r="AH2745" s="38" t="e">
        <v>#N/A</v>
      </c>
    </row>
    <row r="2746" ht="14.25" spans="1:34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3271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6"/>
        <v>-7911.2</v>
      </c>
      <c r="Z2746" s="76"/>
      <c r="AA2746" s="75">
        <f t="shared" si="307"/>
        <v>-7911.2</v>
      </c>
      <c r="AB2746" s="72">
        <v>0</v>
      </c>
      <c r="AC2746" s="79"/>
      <c r="AD2746" s="79"/>
      <c r="AE2746" s="75" t="s">
        <v>3150</v>
      </c>
      <c r="AF2746" s="75" t="s">
        <v>53</v>
      </c>
      <c r="AG2746" s="72">
        <v>0</v>
      </c>
      <c r="AH2746" s="38" t="e">
        <v>#N/A</v>
      </c>
    </row>
    <row r="2747" ht="14.25" spans="1:34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3271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6"/>
        <v>12911.2</v>
      </c>
      <c r="Z2747" s="76"/>
      <c r="AA2747" s="75">
        <f t="shared" si="307"/>
        <v>12911.2</v>
      </c>
      <c r="AB2747" s="72">
        <v>0</v>
      </c>
      <c r="AC2747" s="79"/>
      <c r="AD2747" s="79"/>
      <c r="AE2747" s="75" t="s">
        <v>3150</v>
      </c>
      <c r="AF2747" s="75" t="s">
        <v>53</v>
      </c>
      <c r="AG2747" s="72">
        <v>0</v>
      </c>
      <c r="AH2747" s="38" t="e">
        <v>#N/A</v>
      </c>
    </row>
    <row r="2748" ht="14.25" spans="1:34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3271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14431.2745098039</v>
      </c>
      <c r="V2748" s="76"/>
      <c r="W2748" s="76">
        <v>14431.2745098039</v>
      </c>
      <c r="X2748" s="76"/>
      <c r="Y2748" s="32">
        <f t="shared" si="306"/>
        <v>14431.2745098039</v>
      </c>
      <c r="Z2748" s="76"/>
      <c r="AA2748" s="75">
        <f t="shared" si="307"/>
        <v>14431.2745098039</v>
      </c>
      <c r="AB2748" s="72">
        <v>0</v>
      </c>
      <c r="AC2748" s="79"/>
      <c r="AD2748" s="79"/>
      <c r="AE2748" s="75" t="s">
        <v>3150</v>
      </c>
      <c r="AF2748" s="75" t="s">
        <v>53</v>
      </c>
      <c r="AG2748" s="72">
        <v>0</v>
      </c>
      <c r="AH2748" s="38" t="e">
        <v>#N/A</v>
      </c>
    </row>
    <row r="2749" ht="14.25" spans="1:34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3271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6"/>
        <v>7911.2</v>
      </c>
      <c r="Z2749" s="76"/>
      <c r="AA2749" s="75">
        <f t="shared" si="307"/>
        <v>7911.2</v>
      </c>
      <c r="AB2749" s="72">
        <v>0</v>
      </c>
      <c r="AC2749" s="79"/>
      <c r="AD2749" s="79"/>
      <c r="AE2749" s="75" t="s">
        <v>3150</v>
      </c>
      <c r="AF2749" s="75" t="s">
        <v>53</v>
      </c>
      <c r="AG2749" s="72">
        <v>0</v>
      </c>
      <c r="AH2749" s="38" t="e">
        <v>#N/A</v>
      </c>
    </row>
    <row r="2750" ht="14.25" spans="1:34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2427</v>
      </c>
      <c r="G2750" s="70" t="s">
        <v>997</v>
      </c>
      <c r="H2750" s="70" t="s">
        <v>3271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6"/>
        <v>4619.34</v>
      </c>
      <c r="Z2750" s="76"/>
      <c r="AA2750" s="75">
        <f t="shared" si="307"/>
        <v>4619.34</v>
      </c>
      <c r="AB2750" s="72">
        <v>0</v>
      </c>
      <c r="AC2750" s="79"/>
      <c r="AD2750" s="79"/>
      <c r="AE2750" s="75" t="s">
        <v>3150</v>
      </c>
      <c r="AF2750" s="75" t="s">
        <v>44</v>
      </c>
      <c r="AG2750" s="72">
        <v>0</v>
      </c>
      <c r="AH2750" s="38" t="e">
        <v>#N/A</v>
      </c>
    </row>
    <row r="2751" ht="14.25" spans="1:34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2427</v>
      </c>
      <c r="G2751" s="70" t="s">
        <v>997</v>
      </c>
      <c r="H2751" s="70" t="s">
        <v>3271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6"/>
        <v>10000</v>
      </c>
      <c r="Z2751" s="76"/>
      <c r="AA2751" s="75">
        <f t="shared" si="307"/>
        <v>10000</v>
      </c>
      <c r="AB2751" s="72">
        <v>0</v>
      </c>
      <c r="AC2751" s="79"/>
      <c r="AD2751" s="79"/>
      <c r="AE2751" s="75" t="s">
        <v>3150</v>
      </c>
      <c r="AF2751" s="75" t="s">
        <v>44</v>
      </c>
      <c r="AG2751" s="72">
        <v>0</v>
      </c>
      <c r="AH2751" s="38" t="e">
        <v>#N/A</v>
      </c>
    </row>
    <row r="2752" ht="14.25" spans="1:34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2427</v>
      </c>
      <c r="G2752" s="70" t="s">
        <v>997</v>
      </c>
      <c r="H2752" s="70" t="s">
        <v>3271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6"/>
        <v>-4619.34</v>
      </c>
      <c r="Z2752" s="76"/>
      <c r="AA2752" s="75">
        <f t="shared" si="307"/>
        <v>-4619.34</v>
      </c>
      <c r="AB2752" s="72">
        <v>0</v>
      </c>
      <c r="AC2752" s="79"/>
      <c r="AD2752" s="79"/>
      <c r="AE2752" s="75" t="s">
        <v>3150</v>
      </c>
      <c r="AF2752" s="75" t="s">
        <v>44</v>
      </c>
      <c r="AG2752" s="72">
        <v>0</v>
      </c>
      <c r="AH2752" s="38" t="e">
        <v>#N/A</v>
      </c>
    </row>
    <row r="2753" ht="14.25" spans="1:34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3271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16934.320754717</v>
      </c>
      <c r="V2753" s="76"/>
      <c r="W2753" s="76">
        <v>16934.320754717</v>
      </c>
      <c r="X2753" s="76"/>
      <c r="Y2753" s="32">
        <f t="shared" si="306"/>
        <v>16934.320754717</v>
      </c>
      <c r="Z2753" s="76"/>
      <c r="AA2753" s="75">
        <f t="shared" si="307"/>
        <v>16934.320754717</v>
      </c>
      <c r="AB2753" s="72">
        <v>0</v>
      </c>
      <c r="AC2753" s="79"/>
      <c r="AD2753" s="79"/>
      <c r="AE2753" s="75" t="s">
        <v>3150</v>
      </c>
      <c r="AF2753" s="75" t="s">
        <v>44</v>
      </c>
      <c r="AG2753" s="72">
        <v>0</v>
      </c>
      <c r="AH2753" s="38" t="e">
        <v>#N/A</v>
      </c>
    </row>
    <row r="2754" ht="14.25" spans="1:34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3271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6"/>
        <v>15003.92</v>
      </c>
      <c r="Z2754" s="76"/>
      <c r="AA2754" s="75">
        <f t="shared" si="307"/>
        <v>15003.92</v>
      </c>
      <c r="AB2754" s="72">
        <v>0</v>
      </c>
      <c r="AC2754" s="79"/>
      <c r="AD2754" s="79"/>
      <c r="AE2754" s="75" t="s">
        <v>3150</v>
      </c>
      <c r="AF2754" s="75" t="s">
        <v>44</v>
      </c>
      <c r="AG2754" s="72">
        <v>0</v>
      </c>
      <c r="AH2754" s="38" t="e">
        <v>#N/A</v>
      </c>
    </row>
    <row r="2755" ht="14.25" spans="1:34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3271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</v>
      </c>
      <c r="V2755" s="76"/>
      <c r="W2755" s="76">
        <v>943.396226415094</v>
      </c>
      <c r="X2755" s="76"/>
      <c r="Y2755" s="32">
        <f t="shared" si="306"/>
        <v>943.396226415094</v>
      </c>
      <c r="Z2755" s="76"/>
      <c r="AA2755" s="75">
        <f t="shared" si="307"/>
        <v>943.396226415094</v>
      </c>
      <c r="AB2755" s="72">
        <v>0</v>
      </c>
      <c r="AC2755" s="79"/>
      <c r="AD2755" s="79"/>
      <c r="AE2755" s="75" t="s">
        <v>3150</v>
      </c>
      <c r="AF2755" s="75" t="s">
        <v>44</v>
      </c>
      <c r="AG2755" s="72">
        <v>0</v>
      </c>
      <c r="AH2755" s="38" t="e">
        <v>#N/A</v>
      </c>
    </row>
    <row r="2756" ht="14.25" spans="1:34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3271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6"/>
        <v>820.905660377358</v>
      </c>
      <c r="Z2756" s="76"/>
      <c r="AA2756" s="75">
        <f t="shared" si="307"/>
        <v>820.905660377358</v>
      </c>
      <c r="AB2756" s="72">
        <v>0</v>
      </c>
      <c r="AC2756" s="79"/>
      <c r="AD2756" s="79"/>
      <c r="AE2756" s="75" t="s">
        <v>3150</v>
      </c>
      <c r="AF2756" s="75" t="s">
        <v>44</v>
      </c>
      <c r="AG2756" s="72">
        <v>0</v>
      </c>
      <c r="AH2756" s="38" t="e">
        <v>#N/A</v>
      </c>
    </row>
    <row r="2757" ht="14.25" spans="1:34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3271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6"/>
        <v>-1000</v>
      </c>
      <c r="Z2757" s="76"/>
      <c r="AA2757" s="75">
        <f t="shared" si="307"/>
        <v>-1000</v>
      </c>
      <c r="AB2757" s="72">
        <v>0</v>
      </c>
      <c r="AC2757" s="79"/>
      <c r="AD2757" s="79"/>
      <c r="AE2757" s="75" t="s">
        <v>3150</v>
      </c>
      <c r="AF2757" s="75" t="s">
        <v>44</v>
      </c>
      <c r="AG2757" s="72">
        <v>0</v>
      </c>
      <c r="AH2757" s="38" t="e">
        <v>#N/A</v>
      </c>
    </row>
    <row r="2758" ht="14.25" spans="1:34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3271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6"/>
        <v>1872.94</v>
      </c>
      <c r="Z2758" s="76"/>
      <c r="AA2758" s="75">
        <f t="shared" si="307"/>
        <v>1872.94</v>
      </c>
      <c r="AB2758" s="72">
        <v>0</v>
      </c>
      <c r="AC2758" s="79"/>
      <c r="AD2758" s="79"/>
      <c r="AE2758" s="75" t="s">
        <v>3150</v>
      </c>
      <c r="AF2758" s="75" t="s">
        <v>44</v>
      </c>
      <c r="AG2758" s="72">
        <v>0</v>
      </c>
      <c r="AH2758" s="38" t="e">
        <v>#N/A</v>
      </c>
    </row>
    <row r="2759" ht="14.25" spans="1:34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3271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6"/>
        <v>1604.7619047619</v>
      </c>
      <c r="Z2759" s="76"/>
      <c r="AA2759" s="75">
        <f t="shared" si="307"/>
        <v>1604.7619047619</v>
      </c>
      <c r="AB2759" s="72">
        <v>0</v>
      </c>
      <c r="AC2759" s="79"/>
      <c r="AD2759" s="79"/>
      <c r="AE2759" s="75" t="s">
        <v>3150</v>
      </c>
      <c r="AF2759" s="75" t="s">
        <v>44</v>
      </c>
      <c r="AG2759" s="72">
        <v>0</v>
      </c>
      <c r="AH2759" s="38" t="e">
        <v>#N/A</v>
      </c>
    </row>
    <row r="2760" ht="14.25" spans="1:34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3271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6"/>
        <v>268043</v>
      </c>
      <c r="Z2760" s="76"/>
      <c r="AA2760" s="75">
        <f t="shared" si="307"/>
        <v>268043</v>
      </c>
      <c r="AB2760" s="72">
        <v>0</v>
      </c>
      <c r="AC2760" s="79"/>
      <c r="AD2760" s="79"/>
      <c r="AE2760" s="75" t="s">
        <v>3150</v>
      </c>
      <c r="AF2760" s="75" t="s">
        <v>44</v>
      </c>
      <c r="AG2760" s="72">
        <v>0</v>
      </c>
      <c r="AH2760" s="38" t="e">
        <v>#N/A</v>
      </c>
    </row>
    <row r="2761" ht="14.25" spans="1:34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3271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</v>
      </c>
      <c r="V2761" s="76"/>
      <c r="W2761" s="76">
        <v>139589.89</v>
      </c>
      <c r="X2761" s="76"/>
      <c r="Y2761" s="32">
        <f t="shared" si="306"/>
        <v>139589.89</v>
      </c>
      <c r="Z2761" s="76"/>
      <c r="AA2761" s="75">
        <f t="shared" si="307"/>
        <v>139589.89</v>
      </c>
      <c r="AB2761" s="72">
        <v>0</v>
      </c>
      <c r="AC2761" s="79"/>
      <c r="AD2761" s="79"/>
      <c r="AE2761" s="75" t="s">
        <v>3150</v>
      </c>
      <c r="AF2761" s="75" t="s">
        <v>44</v>
      </c>
      <c r="AG2761" s="72">
        <v>0</v>
      </c>
      <c r="AH2761" s="38" t="e">
        <v>#N/A</v>
      </c>
    </row>
    <row r="2762" ht="14.25" spans="1:34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3271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6"/>
        <v>70979.8</v>
      </c>
      <c r="Z2762" s="76"/>
      <c r="AA2762" s="75">
        <f t="shared" si="307"/>
        <v>70979.8</v>
      </c>
      <c r="AB2762" s="72">
        <v>0</v>
      </c>
      <c r="AC2762" s="79"/>
      <c r="AD2762" s="79"/>
      <c r="AE2762" s="75" t="s">
        <v>3150</v>
      </c>
      <c r="AF2762" s="75" t="s">
        <v>44</v>
      </c>
      <c r="AG2762" s="72">
        <v>0</v>
      </c>
      <c r="AH2762" s="38" t="e">
        <v>#N/A</v>
      </c>
    </row>
    <row r="2763" ht="14.25" spans="1:34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3271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6"/>
        <v>96865.2</v>
      </c>
      <c r="Z2763" s="76"/>
      <c r="AA2763" s="75">
        <f t="shared" si="307"/>
        <v>96865.2</v>
      </c>
      <c r="AB2763" s="72">
        <v>0</v>
      </c>
      <c r="AC2763" s="79"/>
      <c r="AD2763" s="79"/>
      <c r="AE2763" s="75" t="s">
        <v>3150</v>
      </c>
      <c r="AF2763" s="75" t="s">
        <v>44</v>
      </c>
      <c r="AG2763" s="72">
        <v>0</v>
      </c>
      <c r="AH2763" s="38" t="e">
        <v>#N/A</v>
      </c>
    </row>
    <row r="2764" ht="14.25" spans="1:34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3271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</v>
      </c>
      <c r="V2764" s="76"/>
      <c r="W2764" s="76">
        <v>38249.2857142857</v>
      </c>
      <c r="X2764" s="76"/>
      <c r="Y2764" s="32">
        <f t="shared" si="306"/>
        <v>38249.2857142857</v>
      </c>
      <c r="Z2764" s="76"/>
      <c r="AA2764" s="75">
        <f t="shared" si="307"/>
        <v>38249.2857142857</v>
      </c>
      <c r="AB2764" s="72">
        <v>0</v>
      </c>
      <c r="AC2764" s="79"/>
      <c r="AD2764" s="79"/>
      <c r="AE2764" s="75" t="s">
        <v>3150</v>
      </c>
      <c r="AF2764" s="75" t="s">
        <v>44</v>
      </c>
      <c r="AG2764" s="72">
        <v>0</v>
      </c>
      <c r="AH2764" s="38" t="e">
        <v>#N/A</v>
      </c>
    </row>
    <row r="2765" ht="14.25" spans="1:34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3271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6"/>
        <v>-15051</v>
      </c>
      <c r="Z2765" s="76"/>
      <c r="AA2765" s="75">
        <f t="shared" si="307"/>
        <v>-15051</v>
      </c>
      <c r="AB2765" s="72">
        <v>0</v>
      </c>
      <c r="AC2765" s="79"/>
      <c r="AD2765" s="79"/>
      <c r="AE2765" s="75" t="s">
        <v>3150</v>
      </c>
      <c r="AF2765" s="75" t="s">
        <v>53</v>
      </c>
      <c r="AG2765" s="72">
        <v>0</v>
      </c>
      <c r="AH2765" s="38" t="e">
        <v>#N/A</v>
      </c>
    </row>
    <row r="2766" ht="14.25" spans="1:34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3271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6"/>
        <v>40958.9</v>
      </c>
      <c r="Z2766" s="76"/>
      <c r="AA2766" s="75">
        <f t="shared" si="307"/>
        <v>40958.9</v>
      </c>
      <c r="AB2766" s="72">
        <v>0</v>
      </c>
      <c r="AC2766" s="79"/>
      <c r="AD2766" s="79"/>
      <c r="AE2766" s="75" t="s">
        <v>3150</v>
      </c>
      <c r="AF2766" s="75" t="s">
        <v>44</v>
      </c>
      <c r="AG2766" s="72">
        <v>0</v>
      </c>
      <c r="AH2766" s="38" t="e">
        <v>#N/A</v>
      </c>
    </row>
    <row r="2767" ht="14.25" spans="1:34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3271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6"/>
        <v>50680.1</v>
      </c>
      <c r="Z2767" s="76"/>
      <c r="AA2767" s="75">
        <f t="shared" si="307"/>
        <v>50680.1</v>
      </c>
      <c r="AB2767" s="72">
        <v>0</v>
      </c>
      <c r="AC2767" s="79"/>
      <c r="AD2767" s="79"/>
      <c r="AE2767" s="75" t="s">
        <v>3150</v>
      </c>
      <c r="AF2767" s="75" t="s">
        <v>44</v>
      </c>
      <c r="AG2767" s="72">
        <v>0</v>
      </c>
      <c r="AH2767" s="38" t="e">
        <v>#N/A</v>
      </c>
    </row>
    <row r="2768" ht="14.25" spans="1:34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3271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</v>
      </c>
      <c r="V2768" s="76"/>
      <c r="W2768" s="76">
        <v>6515.45631067962</v>
      </c>
      <c r="X2768" s="76"/>
      <c r="Y2768" s="32">
        <f t="shared" si="306"/>
        <v>6515.45631067962</v>
      </c>
      <c r="Z2768" s="76"/>
      <c r="AA2768" s="75">
        <f t="shared" si="307"/>
        <v>6515.45631067962</v>
      </c>
      <c r="AB2768" s="72">
        <v>0</v>
      </c>
      <c r="AC2768" s="79"/>
      <c r="AD2768" s="79"/>
      <c r="AE2768" s="75" t="s">
        <v>3150</v>
      </c>
      <c r="AF2768" s="75" t="s">
        <v>53</v>
      </c>
      <c r="AG2768" s="72">
        <v>0</v>
      </c>
      <c r="AH2768" s="38" t="e">
        <v>#N/A</v>
      </c>
    </row>
    <row r="2769" ht="14.25" spans="1:34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2860</v>
      </c>
      <c r="F2769" s="62" t="s">
        <v>3272</v>
      </c>
      <c r="G2769" s="70" t="s">
        <v>2860</v>
      </c>
      <c r="H2769" s="62" t="s">
        <v>3273</v>
      </c>
      <c r="I2769" s="20" t="s">
        <v>108</v>
      </c>
      <c r="J2769" s="20" t="s">
        <v>507</v>
      </c>
      <c r="K2769" s="20" t="s">
        <v>34</v>
      </c>
      <c r="L2769" s="62" t="s">
        <v>2860</v>
      </c>
      <c r="M2769" s="62"/>
      <c r="N2769" s="62" t="s">
        <v>3092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6"/>
        <v>360000</v>
      </c>
      <c r="Z2769" s="65"/>
      <c r="AA2769" s="75">
        <f t="shared" si="307"/>
        <v>360000</v>
      </c>
      <c r="AB2769" s="63">
        <v>0</v>
      </c>
      <c r="AC2769" s="62"/>
      <c r="AD2769" s="62"/>
      <c r="AE2769" s="75" t="s">
        <v>3150</v>
      </c>
      <c r="AF2769" s="62" t="s">
        <v>44</v>
      </c>
      <c r="AG2769" s="63">
        <v>0</v>
      </c>
      <c r="AH2769" s="38" t="e">
        <v>#N/A</v>
      </c>
    </row>
    <row r="2770" ht="14.25" spans="1:34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1751</v>
      </c>
      <c r="F2770" s="62" t="s">
        <v>3274</v>
      </c>
      <c r="G2770" s="62" t="s">
        <v>1751</v>
      </c>
      <c r="H2770" s="62" t="s">
        <v>3273</v>
      </c>
      <c r="I2770" s="20" t="s">
        <v>108</v>
      </c>
      <c r="J2770" s="20" t="s">
        <v>507</v>
      </c>
      <c r="K2770" s="20" t="s">
        <v>34</v>
      </c>
      <c r="L2770" s="62" t="s">
        <v>1751</v>
      </c>
      <c r="M2770" s="62"/>
      <c r="N2770" s="62" t="s">
        <v>3092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6"/>
        <v>218000</v>
      </c>
      <c r="Z2770" s="65"/>
      <c r="AA2770" s="75">
        <f t="shared" si="307"/>
        <v>218000</v>
      </c>
      <c r="AB2770" s="63">
        <v>0</v>
      </c>
      <c r="AC2770" s="62"/>
      <c r="AD2770" s="62"/>
      <c r="AE2770" s="75" t="s">
        <v>3150</v>
      </c>
      <c r="AF2770" s="62" t="s">
        <v>44</v>
      </c>
      <c r="AG2770" s="63">
        <v>0</v>
      </c>
      <c r="AH2770" s="38" t="e">
        <v>#N/A</v>
      </c>
    </row>
    <row r="2771" ht="14.25" spans="1:34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1751</v>
      </c>
      <c r="F2771" s="62" t="s">
        <v>3275</v>
      </c>
      <c r="G2771" s="62" t="s">
        <v>1751</v>
      </c>
      <c r="H2771" s="62" t="s">
        <v>3273</v>
      </c>
      <c r="I2771" s="20" t="s">
        <v>108</v>
      </c>
      <c r="J2771" s="20" t="s">
        <v>507</v>
      </c>
      <c r="K2771" s="20" t="s">
        <v>34</v>
      </c>
      <c r="L2771" s="62" t="s">
        <v>1751</v>
      </c>
      <c r="M2771" s="62"/>
      <c r="N2771" s="62" t="s">
        <v>3092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6"/>
        <v>270000</v>
      </c>
      <c r="Z2771" s="65"/>
      <c r="AA2771" s="75">
        <f t="shared" si="307"/>
        <v>270000</v>
      </c>
      <c r="AB2771" s="63">
        <v>0</v>
      </c>
      <c r="AC2771" s="62"/>
      <c r="AD2771" s="62"/>
      <c r="AE2771" s="75" t="s">
        <v>3150</v>
      </c>
      <c r="AF2771" s="62" t="s">
        <v>44</v>
      </c>
      <c r="AG2771" s="63">
        <v>0</v>
      </c>
      <c r="AH2771" s="38" t="e">
        <v>#N/A</v>
      </c>
    </row>
    <row r="2772" ht="14.25" spans="1:34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2860</v>
      </c>
      <c r="F2772" s="62" t="s">
        <v>3276</v>
      </c>
      <c r="G2772" s="62" t="s">
        <v>2860</v>
      </c>
      <c r="H2772" s="62" t="s">
        <v>3273</v>
      </c>
      <c r="I2772" s="20" t="s">
        <v>108</v>
      </c>
      <c r="J2772" s="20" t="s">
        <v>507</v>
      </c>
      <c r="K2772" s="20" t="s">
        <v>34</v>
      </c>
      <c r="L2772" s="62" t="s">
        <v>2860</v>
      </c>
      <c r="M2772" s="62"/>
      <c r="N2772" s="62" t="s">
        <v>3092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6"/>
        <v>94000</v>
      </c>
      <c r="Z2772" s="65"/>
      <c r="AA2772" s="75">
        <f t="shared" si="307"/>
        <v>94000</v>
      </c>
      <c r="AB2772" s="63">
        <v>0</v>
      </c>
      <c r="AC2772" s="62"/>
      <c r="AD2772" s="62"/>
      <c r="AE2772" s="75" t="s">
        <v>3150</v>
      </c>
      <c r="AF2772" s="62" t="s">
        <v>44</v>
      </c>
      <c r="AG2772" s="63">
        <v>0</v>
      </c>
      <c r="AH2772" s="38" t="e">
        <v>#N/A</v>
      </c>
    </row>
    <row r="2773" ht="14.25" spans="1:34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3106</v>
      </c>
      <c r="F2773" s="62" t="s">
        <v>3277</v>
      </c>
      <c r="G2773" s="62" t="s">
        <v>3106</v>
      </c>
      <c r="H2773" s="62" t="s">
        <v>3273</v>
      </c>
      <c r="I2773" s="20" t="s">
        <v>108</v>
      </c>
      <c r="J2773" s="20" t="s">
        <v>507</v>
      </c>
      <c r="K2773" s="20" t="s">
        <v>34</v>
      </c>
      <c r="L2773" s="62" t="s">
        <v>3106</v>
      </c>
      <c r="M2773" s="62"/>
      <c r="N2773" s="62" t="s">
        <v>59</v>
      </c>
      <c r="O2773" s="62" t="s">
        <v>82</v>
      </c>
      <c r="P2773" s="63">
        <v>0</v>
      </c>
      <c r="Q2773" s="64" t="s">
        <v>3108</v>
      </c>
      <c r="R2773" s="62"/>
      <c r="S2773" s="65"/>
      <c r="T2773" s="65"/>
      <c r="U2773" s="76">
        <v>2225470.88037037</v>
      </c>
      <c r="V2773" s="65"/>
      <c r="W2773" s="75">
        <v>2225470.88037037</v>
      </c>
      <c r="X2773" s="75"/>
      <c r="Y2773" s="32">
        <f t="shared" si="306"/>
        <v>2225470.88037037</v>
      </c>
      <c r="Z2773" s="65"/>
      <c r="AA2773" s="75">
        <f t="shared" si="307"/>
        <v>2225470.88037037</v>
      </c>
      <c r="AB2773" s="63">
        <v>0</v>
      </c>
      <c r="AC2773" s="62"/>
      <c r="AD2773" s="62"/>
      <c r="AE2773" s="75" t="s">
        <v>3150</v>
      </c>
      <c r="AF2773" s="62" t="s">
        <v>44</v>
      </c>
      <c r="AG2773" s="63">
        <v>0.3</v>
      </c>
      <c r="AH2773" s="38" t="e">
        <v>#N/A</v>
      </c>
    </row>
    <row r="2774" ht="14.25" spans="1:34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3271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3270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6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3266</v>
      </c>
      <c r="AF2774" s="62"/>
      <c r="AG2774" s="63"/>
      <c r="AH2774" s="38" t="e">
        <v>#N/A</v>
      </c>
    </row>
    <row r="2775" ht="14.25" spans="1:34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3148</v>
      </c>
      <c r="I2775" s="20" t="s">
        <v>108</v>
      </c>
      <c r="J2775" s="20" t="s">
        <v>3149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6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3150</v>
      </c>
      <c r="AF2775" s="84" t="s">
        <v>53</v>
      </c>
      <c r="AG2775" s="63">
        <v>0</v>
      </c>
      <c r="AH2775" s="38" t="e">
        <v>#N/A</v>
      </c>
    </row>
    <row r="2776" ht="14.25" spans="1:34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3148</v>
      </c>
      <c r="I2776" s="20" t="s">
        <v>108</v>
      </c>
      <c r="J2776" s="20" t="s">
        <v>3149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87727.8117272727</v>
      </c>
      <c r="V2776" s="65">
        <v>0</v>
      </c>
      <c r="W2776" s="76">
        <v>87727.8117272727</v>
      </c>
      <c r="X2776" s="76"/>
      <c r="Y2776" s="32">
        <f t="shared" si="306"/>
        <v>87727.8117272727</v>
      </c>
      <c r="Z2776" s="65">
        <v>0</v>
      </c>
      <c r="AA2776" s="76">
        <v>87727.8117272727</v>
      </c>
      <c r="AB2776" s="63">
        <v>0</v>
      </c>
      <c r="AC2776" s="80"/>
      <c r="AD2776" s="80"/>
      <c r="AE2776" s="62" t="s">
        <v>3150</v>
      </c>
      <c r="AF2776" s="84" t="s">
        <v>44</v>
      </c>
      <c r="AG2776" s="63">
        <v>0.07</v>
      </c>
      <c r="AH2776" s="38" t="e">
        <v>#N/A</v>
      </c>
    </row>
    <row r="2777" ht="14.25" spans="1:34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3148</v>
      </c>
      <c r="I2777" s="20" t="s">
        <v>108</v>
      </c>
      <c r="J2777" s="20" t="s">
        <v>3149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7161.54890909091</v>
      </c>
      <c r="V2777" s="65">
        <v>0</v>
      </c>
      <c r="W2777" s="76">
        <v>7161.54890909091</v>
      </c>
      <c r="X2777" s="76"/>
      <c r="Y2777" s="32">
        <f t="shared" si="306"/>
        <v>7161.54890909091</v>
      </c>
      <c r="Z2777" s="65">
        <v>0</v>
      </c>
      <c r="AA2777" s="76">
        <v>7161.54890909091</v>
      </c>
      <c r="AB2777" s="63">
        <v>0</v>
      </c>
      <c r="AC2777" s="80"/>
      <c r="AD2777" s="80"/>
      <c r="AE2777" s="62" t="s">
        <v>3150</v>
      </c>
      <c r="AF2777" s="84" t="s">
        <v>44</v>
      </c>
      <c r="AG2777" s="63">
        <v>0.07</v>
      </c>
      <c r="AH2777" s="38" t="e">
        <v>#N/A</v>
      </c>
    </row>
    <row r="2778" ht="14.25" spans="1:34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1618</v>
      </c>
      <c r="F2778" s="62" t="s">
        <v>1618</v>
      </c>
      <c r="G2778" s="62" t="s">
        <v>1618</v>
      </c>
      <c r="H2778" s="62" t="s">
        <v>3148</v>
      </c>
      <c r="I2778" s="20" t="s">
        <v>108</v>
      </c>
      <c r="J2778" s="20" t="s">
        <v>3149</v>
      </c>
      <c r="K2778" s="20" t="str">
        <f>VLOOKUP(H2778,[1]媒体表!C:T,18,0)</f>
        <v>北京多彩</v>
      </c>
      <c r="L2778" s="70" t="s">
        <v>2957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3043.80508474576</v>
      </c>
      <c r="V2778" s="65">
        <v>0</v>
      </c>
      <c r="W2778" s="76">
        <v>3043.80508474576</v>
      </c>
      <c r="X2778" s="76"/>
      <c r="Y2778" s="32">
        <f t="shared" ref="Y2778:Y2780" si="308">W2778+X2778</f>
        <v>3043.80508474576</v>
      </c>
      <c r="Z2778" s="65">
        <v>0</v>
      </c>
      <c r="AA2778" s="76">
        <v>3043.80508474576</v>
      </c>
      <c r="AB2778" s="63">
        <v>0</v>
      </c>
      <c r="AC2778" s="80"/>
      <c r="AD2778" s="80"/>
      <c r="AE2778" s="62" t="s">
        <v>3150</v>
      </c>
      <c r="AF2778" s="84" t="s">
        <v>44</v>
      </c>
      <c r="AG2778" s="63" t="s">
        <v>3278</v>
      </c>
      <c r="AH2778" s="38" t="e">
        <v>#N/A</v>
      </c>
    </row>
    <row r="2779" ht="14.25" spans="1:34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3148</v>
      </c>
      <c r="I2779" s="20" t="s">
        <v>108</v>
      </c>
      <c r="J2779" s="20" t="s">
        <v>3149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08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3150</v>
      </c>
      <c r="AF2779" s="84" t="s">
        <v>44</v>
      </c>
      <c r="AG2779" s="63">
        <v>0</v>
      </c>
      <c r="AH2779" s="38" t="e">
        <v>#N/A</v>
      </c>
    </row>
    <row r="2780" ht="14.25" spans="1:34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1999</v>
      </c>
      <c r="I2780" s="20" t="s">
        <v>2000</v>
      </c>
      <c r="J2780" s="20" t="s">
        <v>2001</v>
      </c>
      <c r="K2780" s="20" t="str">
        <f>VLOOKUP(H2780,[1]媒体表!C:T,18,0)</f>
        <v>北京多彩</v>
      </c>
      <c r="L2780" s="20" t="s">
        <v>1794</v>
      </c>
      <c r="M2780" s="47"/>
      <c r="N2780" s="20" t="s">
        <v>59</v>
      </c>
      <c r="O2780" s="20" t="s">
        <v>43</v>
      </c>
      <c r="P2780" s="47">
        <v>0.04</v>
      </c>
      <c r="Q2780" s="48" t="s">
        <v>2459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</v>
      </c>
      <c r="X2780" s="32"/>
      <c r="Y2780" s="32">
        <f t="shared" si="308"/>
        <v>3838.74038461538</v>
      </c>
      <c r="Z2780" s="32">
        <f>U2780-W2780</f>
        <v>-3838.74038461538</v>
      </c>
      <c r="AA2780" s="34">
        <v>3992.29</v>
      </c>
      <c r="AB2780" s="24">
        <v>0.12</v>
      </c>
      <c r="AC2780" s="36"/>
      <c r="AD2780" s="36"/>
      <c r="AE2780" s="34" t="s">
        <v>3279</v>
      </c>
      <c r="AF2780" s="34" t="s">
        <v>44</v>
      </c>
      <c r="AG2780" s="24">
        <v>0</v>
      </c>
      <c r="AH2780" s="38" t="e">
        <v>#N/A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0"/>
  <sheetViews>
    <sheetView topLeftCell="F1" workbookViewId="0">
      <selection activeCell="U17" sqref="U17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ht="14.25" spans="1:20">
      <c r="A1" s="1" t="s">
        <v>9</v>
      </c>
      <c r="B1" s="1" t="s">
        <v>8</v>
      </c>
      <c r="C1" s="1" t="s">
        <v>3280</v>
      </c>
      <c r="D1" s="1" t="s">
        <v>6</v>
      </c>
      <c r="E1" s="1" t="s">
        <v>3281</v>
      </c>
      <c r="F1" s="1" t="s">
        <v>13</v>
      </c>
      <c r="G1" s="2" t="s">
        <v>26</v>
      </c>
      <c r="H1" s="2" t="s">
        <v>3282</v>
      </c>
      <c r="I1" s="7" t="s">
        <v>3283</v>
      </c>
      <c r="J1" s="2" t="s">
        <v>3284</v>
      </c>
      <c r="K1" s="2" t="s">
        <v>3285</v>
      </c>
      <c r="L1" s="2" t="s">
        <v>3286</v>
      </c>
      <c r="M1" s="8" t="s">
        <v>14</v>
      </c>
      <c r="N1" s="1" t="s">
        <v>3287</v>
      </c>
      <c r="O1" s="9" t="s">
        <v>22</v>
      </c>
      <c r="P1" s="9" t="s">
        <v>3288</v>
      </c>
      <c r="Q1" s="9" t="s">
        <v>3289</v>
      </c>
      <c r="R1" s="9" t="s">
        <v>3290</v>
      </c>
      <c r="S1" s="14" t="s">
        <v>3291</v>
      </c>
      <c r="T1" s="8" t="s">
        <v>3292</v>
      </c>
    </row>
    <row r="2" ht="14.25" spans="1:20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3293</v>
      </c>
      <c r="F2" s="5" t="s">
        <v>42</v>
      </c>
      <c r="G2" s="6">
        <v>9773957.04</v>
      </c>
      <c r="H2" s="6">
        <v>9773957.04</v>
      </c>
      <c r="I2" s="10">
        <v>0.165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9747700.80590767</v>
      </c>
      <c r="P2" s="12"/>
      <c r="Q2" s="12">
        <f>(O2-G2+J2)/1.06</f>
        <v>1496647.8089695</v>
      </c>
      <c r="R2" s="12">
        <f t="shared" ref="R2:R60" si="2">Q2-(P2/1.06)</f>
        <v>1496647.8089695</v>
      </c>
      <c r="S2" s="15">
        <f t="shared" ref="S2:S60" si="3">R2/O2</f>
        <v>0.153538546039744</v>
      </c>
      <c r="T2" s="3" t="s">
        <v>507</v>
      </c>
    </row>
    <row r="3" ht="14.25" spans="1:20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3293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-35365.736</v>
      </c>
      <c r="M3" s="5" t="s">
        <v>43</v>
      </c>
      <c r="N3" s="3" t="s">
        <v>3294</v>
      </c>
      <c r="O3" s="12">
        <f>SUMIFS(客户表!W:W,客户表!J:J,A3,客户表!A:A,E3,客户表!N:N,F3)+SUMIFS(客户表!X:X,客户表!J:J,A3,客户表!A:A,E3,客户表!N:N,F3)</f>
        <v>331057.306930693</v>
      </c>
      <c r="P3" s="12"/>
      <c r="Q3" s="12">
        <f t="shared" ref="Q3:Q8" si="4">(O3-G3+J3-K3)/1.06</f>
        <v>12648.8876704652</v>
      </c>
      <c r="R3" s="12">
        <f t="shared" si="2"/>
        <v>12648.8876704652</v>
      </c>
      <c r="S3" s="15">
        <f t="shared" si="3"/>
        <v>0.0382075471698114</v>
      </c>
      <c r="T3" s="3" t="s">
        <v>34</v>
      </c>
    </row>
    <row r="4" ht="14.25" spans="1:20">
      <c r="A4" s="3" t="s">
        <v>109</v>
      </c>
      <c r="B4" s="3" t="s">
        <v>108</v>
      </c>
      <c r="C4" s="3" t="s">
        <v>107</v>
      </c>
      <c r="D4" s="3" t="s">
        <v>3295</v>
      </c>
      <c r="E4" s="4" t="s">
        <v>3293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</v>
      </c>
      <c r="K4" s="6"/>
      <c r="L4" s="11">
        <f t="shared" si="1"/>
        <v>309.4488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8161.6505</v>
      </c>
      <c r="P4" s="12"/>
      <c r="Q4" s="12">
        <f t="shared" ref="Q4:Q11" si="5">(O4-G4+J4)/1.06</f>
        <v>693.282358490566</v>
      </c>
      <c r="R4" s="12">
        <f t="shared" si="2"/>
        <v>693.282358490566</v>
      </c>
      <c r="S4" s="15">
        <f t="shared" si="3"/>
        <v>0.0849438919849074</v>
      </c>
      <c r="T4" s="3" t="s">
        <v>34</v>
      </c>
    </row>
    <row r="5" ht="14.25" spans="1:20">
      <c r="A5" s="3" t="s">
        <v>109</v>
      </c>
      <c r="B5" s="3" t="s">
        <v>108</v>
      </c>
      <c r="C5" s="3" t="s">
        <v>107</v>
      </c>
      <c r="D5" s="3" t="s">
        <v>3295</v>
      </c>
      <c r="E5" s="4" t="s">
        <v>3293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132383.9625</v>
      </c>
      <c r="P5" s="12"/>
      <c r="Q5" s="12">
        <f t="shared" si="5"/>
        <v>3851.85141509433</v>
      </c>
      <c r="R5" s="12">
        <f t="shared" si="2"/>
        <v>3851.85141509433</v>
      </c>
      <c r="S5" s="15">
        <f t="shared" si="3"/>
        <v>0.0290960577274935</v>
      </c>
      <c r="T5" s="3" t="s">
        <v>34</v>
      </c>
    </row>
    <row r="6" ht="14.25" spans="1:20">
      <c r="A6" s="3" t="s">
        <v>40</v>
      </c>
      <c r="B6" s="3" t="s">
        <v>39</v>
      </c>
      <c r="C6" s="3" t="s">
        <v>38</v>
      </c>
      <c r="D6" s="3" t="s">
        <v>38</v>
      </c>
      <c r="E6" s="4" t="s">
        <v>3293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</v>
      </c>
      <c r="K6" s="6"/>
      <c r="L6" s="11">
        <f t="shared" si="1"/>
        <v>254900.2328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</v>
      </c>
      <c r="P6" s="12"/>
      <c r="Q6" s="12">
        <f t="shared" si="4"/>
        <v>1875670.64097273</v>
      </c>
      <c r="R6" s="12">
        <f t="shared" si="2"/>
        <v>1875670.64097273</v>
      </c>
      <c r="S6" s="15">
        <f t="shared" si="3"/>
        <v>0.598726118276145</v>
      </c>
      <c r="T6" s="3" t="s">
        <v>34</v>
      </c>
    </row>
    <row r="7" ht="14.25" spans="1:20">
      <c r="A7" s="3" t="s">
        <v>40</v>
      </c>
      <c r="B7" s="3" t="s">
        <v>39</v>
      </c>
      <c r="C7" s="3" t="s">
        <v>38</v>
      </c>
      <c r="D7" s="3" t="s">
        <v>38</v>
      </c>
      <c r="E7" s="4" t="s">
        <v>3293</v>
      </c>
      <c r="F7" s="5" t="s">
        <v>42</v>
      </c>
      <c r="G7" s="6">
        <v>6979498.49535699</v>
      </c>
      <c r="H7" s="6">
        <f>19434320.92+4959274.63</f>
        <v>24393595.55</v>
      </c>
      <c r="I7" s="10">
        <v>0.065</v>
      </c>
      <c r="J7" s="11">
        <f t="shared" si="0"/>
        <v>1585583.71075</v>
      </c>
      <c r="K7" s="6">
        <v>14315185.39</v>
      </c>
      <c r="L7" s="11">
        <f t="shared" si="1"/>
        <v>-12729601.67925</v>
      </c>
      <c r="M7" s="5" t="s">
        <v>43</v>
      </c>
      <c r="N7" s="3" t="s">
        <v>3296</v>
      </c>
      <c r="O7" s="12">
        <f>SUMIFS(客户表!W:W,客户表!J:J,A7,客户表!A:A,E7,客户表!N:N,F7)+SUMIFS(客户表!X:X,客户表!J:J,A7,客户表!A:A,E7,客户表!N:N,F7)</f>
        <v>19283025.2486968</v>
      </c>
      <c r="P7" s="12">
        <v>36.66</v>
      </c>
      <c r="Q7" s="12">
        <f t="shared" si="4"/>
        <v>-401957.477273788</v>
      </c>
      <c r="R7" s="12">
        <f t="shared" si="2"/>
        <v>-401992.062179449</v>
      </c>
      <c r="S7" s="15">
        <f t="shared" si="3"/>
        <v>-0.0208469395748272</v>
      </c>
      <c r="T7" s="3" t="s">
        <v>34</v>
      </c>
    </row>
    <row r="8" ht="14.25" spans="1:20">
      <c r="A8" s="3" t="s">
        <v>40</v>
      </c>
      <c r="B8" s="3" t="s">
        <v>39</v>
      </c>
      <c r="C8" s="3" t="s">
        <v>38</v>
      </c>
      <c r="D8" s="3" t="s">
        <v>38</v>
      </c>
      <c r="E8" s="4" t="s">
        <v>3293</v>
      </c>
      <c r="F8" s="5" t="s">
        <v>333</v>
      </c>
      <c r="G8" s="6">
        <v>178757.000964906</v>
      </c>
      <c r="H8" s="6">
        <v>252325.44</v>
      </c>
      <c r="I8" s="10">
        <v>0.08</v>
      </c>
      <c r="J8" s="11">
        <f t="shared" si="0"/>
        <v>20186.0352</v>
      </c>
      <c r="K8" s="6"/>
      <c r="L8" s="11">
        <f t="shared" si="1"/>
        <v>20186.0352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88447.6172029189</v>
      </c>
      <c r="R8" s="12">
        <f t="shared" si="2"/>
        <v>88447.6172029189</v>
      </c>
      <c r="S8" s="15">
        <f t="shared" si="3"/>
        <v>0.350529923589626</v>
      </c>
      <c r="T8" s="3" t="s">
        <v>34</v>
      </c>
    </row>
    <row r="9" ht="14.25" spans="1:20">
      <c r="A9" s="3" t="s">
        <v>51</v>
      </c>
      <c r="B9" s="3" t="s">
        <v>50</v>
      </c>
      <c r="C9" s="3" t="s">
        <v>49</v>
      </c>
      <c r="D9" s="3" t="s">
        <v>3297</v>
      </c>
      <c r="E9" s="4" t="s">
        <v>3293</v>
      </c>
      <c r="F9" s="5" t="s">
        <v>59</v>
      </c>
      <c r="G9" s="6">
        <v>3320548.9</v>
      </c>
      <c r="H9" s="6">
        <v>3320548.9</v>
      </c>
      <c r="I9" s="10">
        <v>0.133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3249765.51074862</v>
      </c>
      <c r="P9" s="12"/>
      <c r="Q9" s="12">
        <f t="shared" si="5"/>
        <v>349858.12683832</v>
      </c>
      <c r="R9" s="12">
        <f t="shared" si="2"/>
        <v>349858.12683832</v>
      </c>
      <c r="S9" s="15">
        <f t="shared" si="3"/>
        <v>0.107656421880644</v>
      </c>
      <c r="T9" s="3" t="s">
        <v>34</v>
      </c>
    </row>
    <row r="10" ht="14.25" spans="1:20">
      <c r="A10" s="3" t="s">
        <v>51</v>
      </c>
      <c r="B10" s="3" t="s">
        <v>50</v>
      </c>
      <c r="C10" s="3" t="s">
        <v>49</v>
      </c>
      <c r="D10" s="3" t="s">
        <v>3297</v>
      </c>
      <c r="E10" s="4" t="s">
        <v>3293</v>
      </c>
      <c r="F10" s="5" t="s">
        <v>42</v>
      </c>
      <c r="G10" s="6">
        <v>21193834.74</v>
      </c>
      <c r="H10" s="6">
        <f>20997224.74+196610</f>
        <v>21193834.74</v>
      </c>
      <c r="I10" s="10">
        <v>0.053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20870608.4270104</v>
      </c>
      <c r="P10" s="12">
        <v>2020.6782</v>
      </c>
      <c r="Q10" s="12">
        <f t="shared" si="5"/>
        <v>754761.253047579</v>
      </c>
      <c r="R10" s="12">
        <f t="shared" si="2"/>
        <v>752854.952858899</v>
      </c>
      <c r="S10" s="15">
        <f t="shared" si="3"/>
        <v>0.0360724966639959</v>
      </c>
      <c r="T10" s="3" t="s">
        <v>34</v>
      </c>
    </row>
    <row r="11" ht="14.25" spans="1:20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3293</v>
      </c>
      <c r="F11" s="5" t="s">
        <v>59</v>
      </c>
      <c r="G11" s="6">
        <v>252462223.01</v>
      </c>
      <c r="H11" s="6">
        <v>252462223.01</v>
      </c>
      <c r="I11" s="10">
        <v>0.07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251118098.623976</v>
      </c>
      <c r="P11" s="12"/>
      <c r="Q11" s="12">
        <f t="shared" si="5"/>
        <v>15403991.7213921</v>
      </c>
      <c r="R11" s="12">
        <f t="shared" si="2"/>
        <v>15403991.7213921</v>
      </c>
      <c r="S11" s="15">
        <f t="shared" si="3"/>
        <v>0.0613416229487228</v>
      </c>
      <c r="T11" s="3" t="s">
        <v>34</v>
      </c>
    </row>
    <row r="12" ht="14.25" spans="1:20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3293</v>
      </c>
      <c r="F12" s="5" t="s">
        <v>42</v>
      </c>
      <c r="G12" s="6">
        <v>24155.04</v>
      </c>
      <c r="H12" s="6">
        <v>23712.2</v>
      </c>
      <c r="I12" s="10">
        <v>0.04</v>
      </c>
      <c r="J12" s="11">
        <f t="shared" si="0"/>
        <v>948.488</v>
      </c>
      <c r="K12" s="6"/>
      <c r="L12" s="11">
        <f t="shared" si="1"/>
        <v>948.488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0.0370440289065967</v>
      </c>
      <c r="T12" s="3" t="s">
        <v>34</v>
      </c>
    </row>
    <row r="13" ht="14.25" spans="1:20">
      <c r="A13" s="3" t="s">
        <v>513</v>
      </c>
      <c r="B13" s="3" t="s">
        <v>108</v>
      </c>
      <c r="C13" s="3" t="s">
        <v>512</v>
      </c>
      <c r="D13" s="3" t="s">
        <v>3298</v>
      </c>
      <c r="E13" s="4" t="s">
        <v>3293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</v>
      </c>
      <c r="K13" s="6"/>
      <c r="L13" s="11">
        <f t="shared" si="1"/>
        <v>7500.0428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7075.5120754717</v>
      </c>
      <c r="R13" s="12">
        <f t="shared" si="2"/>
        <v>7075.5120754717</v>
      </c>
      <c r="S13" s="15">
        <f t="shared" si="3"/>
        <v>0.0377358490566038</v>
      </c>
      <c r="T13" s="3" t="s">
        <v>34</v>
      </c>
    </row>
    <row r="14" ht="14.25" spans="1:20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3293</v>
      </c>
      <c r="F14" s="5" t="s">
        <v>59</v>
      </c>
      <c r="G14" s="6">
        <v>1672827.73333333</v>
      </c>
      <c r="H14" s="6">
        <v>1672827.73333333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61499.773333333</v>
      </c>
      <c r="M14" s="5" t="s">
        <v>43</v>
      </c>
      <c r="N14" s="3" t="s">
        <v>3294</v>
      </c>
      <c r="O14" s="12">
        <f>SUMIFS(客户表!W:W,客户表!J:J,A14,客户表!A:A,E14,客户表!N:N,F14)+SUMIFS(客户表!X:X,客户表!J:J,A14,客户表!A:A,E14,客户表!N:N,F14)</f>
        <v>1861715.82549407</v>
      </c>
      <c r="P14" s="12"/>
      <c r="Q14" s="12">
        <f t="shared" si="6"/>
        <v>236214.96744724</v>
      </c>
      <c r="R14" s="12">
        <f t="shared" si="2"/>
        <v>236214.96744724</v>
      </c>
      <c r="S14" s="15">
        <f t="shared" si="3"/>
        <v>0.126880248968476</v>
      </c>
      <c r="T14" s="3" t="s">
        <v>34</v>
      </c>
    </row>
    <row r="15" ht="14.25" spans="1:20">
      <c r="A15" s="3" t="s">
        <v>2001</v>
      </c>
      <c r="B15" s="3" t="s">
        <v>2000</v>
      </c>
      <c r="C15" s="3" t="s">
        <v>1999</v>
      </c>
      <c r="D15" s="3" t="s">
        <v>3299</v>
      </c>
      <c r="E15" s="4" t="s">
        <v>3293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527473.5948</v>
      </c>
      <c r="K15" s="6"/>
      <c r="L15" s="11">
        <f t="shared" si="1"/>
        <v>527473.5948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4435798.00322401</v>
      </c>
      <c r="P15" s="12"/>
      <c r="Q15" s="12">
        <f t="shared" si="6"/>
        <v>1996252.02490039</v>
      </c>
      <c r="R15" s="12">
        <f t="shared" si="2"/>
        <v>1996252.02490039</v>
      </c>
      <c r="S15" s="15">
        <f t="shared" si="3"/>
        <v>0.450032220459426</v>
      </c>
      <c r="T15" s="3" t="s">
        <v>34</v>
      </c>
    </row>
    <row r="16" ht="14.25" spans="1:20">
      <c r="A16" s="3" t="s">
        <v>2001</v>
      </c>
      <c r="B16" s="3" t="s">
        <v>2000</v>
      </c>
      <c r="C16" s="3" t="s">
        <v>1999</v>
      </c>
      <c r="D16" s="3" t="s">
        <v>3299</v>
      </c>
      <c r="E16" s="4" t="s">
        <v>3293</v>
      </c>
      <c r="F16" s="5" t="s">
        <v>42</v>
      </c>
      <c r="G16" s="6">
        <v>46902142.6426167</v>
      </c>
      <c r="H16" s="6">
        <v>76365987.71</v>
      </c>
      <c r="I16" s="10">
        <v>0.065</v>
      </c>
      <c r="J16" s="11">
        <f t="shared" si="0"/>
        <v>4963789.20115</v>
      </c>
      <c r="K16" s="6">
        <v>31753728.86</v>
      </c>
      <c r="L16" s="11">
        <f t="shared" si="1"/>
        <v>-26789939.65885</v>
      </c>
      <c r="M16" s="5" t="s">
        <v>43</v>
      </c>
      <c r="N16" s="3" t="s">
        <v>3300</v>
      </c>
      <c r="O16" s="12">
        <f>SUMIFS(客户表!W:W,客户表!J:J,A16,客户表!A:A,E16,客户表!N:N,F16)+SUMIFS(客户表!X:X,客户表!J:J,A16,客户表!A:A,E16,客户表!N:N,F16)</f>
        <v>75971564.6527847</v>
      </c>
      <c r="P16" s="12">
        <v>4993.23</v>
      </c>
      <c r="Q16" s="12">
        <f t="shared" si="6"/>
        <v>2150455.04841322</v>
      </c>
      <c r="R16" s="12">
        <f t="shared" si="2"/>
        <v>2145744.45407359</v>
      </c>
      <c r="S16" s="15">
        <f t="shared" si="3"/>
        <v>0.0282440471494876</v>
      </c>
      <c r="T16" s="3" t="s">
        <v>34</v>
      </c>
    </row>
    <row r="17" ht="14.25" spans="1:20">
      <c r="A17" s="3" t="s">
        <v>2001</v>
      </c>
      <c r="B17" s="3" t="s">
        <v>2000</v>
      </c>
      <c r="C17" s="3" t="s">
        <v>1999</v>
      </c>
      <c r="D17" s="3" t="s">
        <v>3299</v>
      </c>
      <c r="E17" s="4" t="s">
        <v>3293</v>
      </c>
      <c r="F17" s="5" t="s">
        <v>333</v>
      </c>
      <c r="G17" s="6">
        <v>855958.445753797</v>
      </c>
      <c r="H17" s="6">
        <v>1395871.21</v>
      </c>
      <c r="I17" s="10">
        <v>0.12</v>
      </c>
      <c r="J17" s="11">
        <f t="shared" si="0"/>
        <v>167504.5452</v>
      </c>
      <c r="K17" s="6"/>
      <c r="L17" s="11">
        <f t="shared" si="1"/>
        <v>167504.5452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</v>
      </c>
      <c r="P17" s="12"/>
      <c r="Q17" s="12">
        <f t="shared" si="6"/>
        <v>661597.513980288</v>
      </c>
      <c r="R17" s="12">
        <f t="shared" si="2"/>
        <v>661597.513980288</v>
      </c>
      <c r="S17" s="15">
        <f t="shared" si="3"/>
        <v>0.476055992671995</v>
      </c>
      <c r="T17" s="3" t="s">
        <v>34</v>
      </c>
    </row>
    <row r="18" ht="14.25" spans="1:20">
      <c r="A18" s="3" t="s">
        <v>2846</v>
      </c>
      <c r="B18" s="3" t="s">
        <v>2845</v>
      </c>
      <c r="C18" s="3" t="s">
        <v>2844</v>
      </c>
      <c r="D18" s="3" t="s">
        <v>3301</v>
      </c>
      <c r="E18" s="4" t="s">
        <v>3293</v>
      </c>
      <c r="F18" s="5" t="s">
        <v>59</v>
      </c>
      <c r="G18" s="6">
        <v>56016014.03</v>
      </c>
      <c r="H18" s="6">
        <v>56016014.03</v>
      </c>
      <c r="I18" s="10">
        <v>0.05</v>
      </c>
      <c r="J18" s="11">
        <f t="shared" si="0"/>
        <v>2800800.7015</v>
      </c>
      <c r="K18" s="6"/>
      <c r="L18" s="11">
        <f t="shared" si="1"/>
        <v>2800800.7015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55571529.6865202</v>
      </c>
      <c r="P18" s="12">
        <v>2178.7519047619</v>
      </c>
      <c r="Q18" s="12">
        <f t="shared" ref="Q18:Q20" si="7">(O18-G18+J18)/1.06</f>
        <v>2222939.96039646</v>
      </c>
      <c r="R18" s="12">
        <f t="shared" si="2"/>
        <v>2220884.53407121</v>
      </c>
      <c r="S18" s="15">
        <f t="shared" si="3"/>
        <v>0.0399644304664502</v>
      </c>
      <c r="T18" s="3" t="s">
        <v>34</v>
      </c>
    </row>
    <row r="19" ht="14.25" spans="1:20">
      <c r="A19" s="3" t="s">
        <v>2846</v>
      </c>
      <c r="B19" s="3" t="s">
        <v>2845</v>
      </c>
      <c r="C19" s="3" t="s">
        <v>2844</v>
      </c>
      <c r="D19" s="3" t="s">
        <v>3301</v>
      </c>
      <c r="E19" s="4" t="s">
        <v>3293</v>
      </c>
      <c r="F19" s="5" t="s">
        <v>42</v>
      </c>
      <c r="G19" s="6">
        <v>11331093.47</v>
      </c>
      <c r="H19" s="6">
        <v>11331093.47</v>
      </c>
      <c r="I19" s="10">
        <v>0.05</v>
      </c>
      <c r="J19" s="11">
        <f t="shared" si="0"/>
        <v>566554.6735</v>
      </c>
      <c r="K19" s="6"/>
      <c r="L19" s="11">
        <f t="shared" si="1"/>
        <v>566554.6735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11118350.9711574</v>
      </c>
      <c r="P19" s="12"/>
      <c r="Q19" s="12">
        <f t="shared" si="7"/>
        <v>333785.070431468</v>
      </c>
      <c r="R19" s="12">
        <f t="shared" si="2"/>
        <v>333785.070431468</v>
      </c>
      <c r="S19" s="15">
        <f t="shared" si="3"/>
        <v>0.0300210949714896</v>
      </c>
      <c r="T19" s="3" t="s">
        <v>34</v>
      </c>
    </row>
    <row r="20" ht="14.25" spans="1:20">
      <c r="A20" s="3" t="s">
        <v>2846</v>
      </c>
      <c r="B20" s="3" t="s">
        <v>2845</v>
      </c>
      <c r="C20" s="3" t="s">
        <v>2844</v>
      </c>
      <c r="D20" s="3" t="s">
        <v>3301</v>
      </c>
      <c r="E20" s="4" t="s">
        <v>3293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12676852.44621</v>
      </c>
      <c r="P20" s="12"/>
      <c r="Q20" s="12">
        <f t="shared" si="7"/>
        <v>-26277.5318773951</v>
      </c>
      <c r="R20" s="12">
        <f t="shared" si="2"/>
        <v>-26277.5318773951</v>
      </c>
      <c r="S20" s="15">
        <f t="shared" si="3"/>
        <v>-0.00207287510751546</v>
      </c>
      <c r="T20" s="3" t="s">
        <v>34</v>
      </c>
    </row>
    <row r="21" ht="14.25" spans="1:20">
      <c r="A21" s="3" t="s">
        <v>2967</v>
      </c>
      <c r="B21" s="3" t="s">
        <v>2966</v>
      </c>
      <c r="C21" s="3" t="s">
        <v>2965</v>
      </c>
      <c r="D21" s="3" t="s">
        <v>2965</v>
      </c>
      <c r="E21" s="4" t="s">
        <v>3293</v>
      </c>
      <c r="F21" s="5" t="s">
        <v>42</v>
      </c>
      <c r="G21" s="6">
        <v>24745548.22</v>
      </c>
      <c r="H21" s="6">
        <f>G21</f>
        <v>24745548.22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</v>
      </c>
      <c r="P21" s="12"/>
      <c r="Q21" s="12">
        <f t="shared" ref="Q21:Q31" si="8">(O21-G21+J21-K21)/1.06</f>
        <v>1207684.38257398</v>
      </c>
      <c r="R21" s="12">
        <f t="shared" si="2"/>
        <v>1207684.38257398</v>
      </c>
      <c r="S21" s="15">
        <f t="shared" si="3"/>
        <v>0.0464035425181992</v>
      </c>
      <c r="T21" s="3" t="s">
        <v>34</v>
      </c>
    </row>
    <row r="22" ht="14.25" spans="1:20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3293</v>
      </c>
      <c r="F22" s="5" t="s">
        <v>3099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3302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</v>
      </c>
      <c r="R22" s="12">
        <f t="shared" si="2"/>
        <v>1811.32075471698</v>
      </c>
      <c r="S22" s="15">
        <f t="shared" si="3"/>
        <v>0.150943396226415</v>
      </c>
      <c r="T22" s="3" t="s">
        <v>34</v>
      </c>
    </row>
    <row r="23" ht="14.25" spans="1:20">
      <c r="A23" s="3" t="s">
        <v>3141</v>
      </c>
      <c r="B23" s="3" t="s">
        <v>108</v>
      </c>
      <c r="C23" s="3" t="s">
        <v>3140</v>
      </c>
      <c r="D23" s="3" t="s">
        <v>3140</v>
      </c>
      <c r="E23" s="4" t="s">
        <v>3293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</v>
      </c>
      <c r="R23" s="12">
        <f t="shared" si="2"/>
        <v>-11196.6981132075</v>
      </c>
      <c r="S23" s="15" t="e">
        <f t="shared" si="3"/>
        <v>#DIV/0!</v>
      </c>
      <c r="T23" s="3" t="s">
        <v>507</v>
      </c>
    </row>
    <row r="24" ht="14.25" spans="1:20">
      <c r="A24" s="3" t="s">
        <v>3098</v>
      </c>
      <c r="B24" s="3" t="s">
        <v>108</v>
      </c>
      <c r="C24" s="3" t="s">
        <v>3097</v>
      </c>
      <c r="D24" s="3" t="s">
        <v>1747</v>
      </c>
      <c r="E24" s="4" t="s">
        <v>3293</v>
      </c>
      <c r="F24" s="5" t="s">
        <v>3099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ht="14.25" spans="1:20">
      <c r="A25" s="3" t="s">
        <v>3103</v>
      </c>
      <c r="B25" s="3" t="s">
        <v>108</v>
      </c>
      <c r="C25" s="3" t="s">
        <v>3102</v>
      </c>
      <c r="D25" s="3" t="s">
        <v>3102</v>
      </c>
      <c r="E25" s="4" t="s">
        <v>3293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306603.773584906</v>
      </c>
      <c r="R25" s="12">
        <f t="shared" si="2"/>
        <v>306603.773584906</v>
      </c>
      <c r="S25" s="15">
        <f t="shared" si="3"/>
        <v>0.0449236298292902</v>
      </c>
      <c r="T25" s="3" t="s">
        <v>34</v>
      </c>
    </row>
    <row r="26" ht="14.25" spans="1:20">
      <c r="A26" s="3" t="s">
        <v>3087</v>
      </c>
      <c r="B26" s="3" t="s">
        <v>108</v>
      </c>
      <c r="C26" s="3" t="s">
        <v>3086</v>
      </c>
      <c r="D26" s="3" t="s">
        <v>3303</v>
      </c>
      <c r="E26" s="4" t="s">
        <v>3293</v>
      </c>
      <c r="F26" s="5" t="s">
        <v>3088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3304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</v>
      </c>
      <c r="R26" s="12">
        <f t="shared" si="2"/>
        <v>53937.7358490566</v>
      </c>
      <c r="S26" s="15">
        <f t="shared" si="3"/>
        <v>0.235849056603774</v>
      </c>
      <c r="T26" s="3" t="s">
        <v>34</v>
      </c>
    </row>
    <row r="27" ht="14.25" spans="1:20">
      <c r="A27" s="3" t="s">
        <v>3091</v>
      </c>
      <c r="B27" s="3" t="s">
        <v>108</v>
      </c>
      <c r="C27" s="3" t="s">
        <v>3090</v>
      </c>
      <c r="D27" s="3" t="s">
        <v>3305</v>
      </c>
      <c r="E27" s="4" t="s">
        <v>3293</v>
      </c>
      <c r="F27" s="5" t="s">
        <v>3092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3306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254433.962264151</v>
      </c>
      <c r="R27" s="12">
        <f t="shared" si="2"/>
        <v>254433.962264151</v>
      </c>
      <c r="S27" s="15">
        <f t="shared" si="3"/>
        <v>0.270099747626487</v>
      </c>
      <c r="T27" s="3" t="s">
        <v>507</v>
      </c>
    </row>
    <row r="28" ht="14.25" spans="1:20">
      <c r="A28" s="3" t="s">
        <v>3091</v>
      </c>
      <c r="B28" s="3" t="s">
        <v>108</v>
      </c>
      <c r="C28" s="3" t="s">
        <v>3090</v>
      </c>
      <c r="D28" s="3" t="s">
        <v>3305</v>
      </c>
      <c r="E28" s="4" t="s">
        <v>3293</v>
      </c>
      <c r="F28" s="5" t="s">
        <v>59</v>
      </c>
      <c r="G28" s="6">
        <v>1670622.822</v>
      </c>
      <c r="H28" s="6">
        <v>1670622.822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3306</v>
      </c>
      <c r="O28" s="12">
        <f>SUMIFS(客户表!W:W,客户表!J:J,A28,客户表!A:A,E28,客户表!N:N,F28)+SUMIFS(客户表!X:X,客户表!J:J,A28,客户表!A:A,E28,客户表!N:N,F28)</f>
        <v>2225470.88037037</v>
      </c>
      <c r="P28" s="12"/>
      <c r="Q28" s="12">
        <f t="shared" si="8"/>
        <v>523441.564500349</v>
      </c>
      <c r="R28" s="12">
        <f t="shared" si="2"/>
        <v>523441.564500349</v>
      </c>
      <c r="S28" s="15">
        <f t="shared" si="3"/>
        <v>0.235204858943486</v>
      </c>
      <c r="T28" s="3" t="s">
        <v>507</v>
      </c>
    </row>
    <row r="29" ht="14.25" spans="1:20">
      <c r="A29" s="3" t="s">
        <v>3112</v>
      </c>
      <c r="B29" s="3" t="s">
        <v>108</v>
      </c>
      <c r="C29" s="3" t="s">
        <v>3111</v>
      </c>
      <c r="D29" s="3" t="s">
        <v>3307</v>
      </c>
      <c r="E29" s="4" t="s">
        <v>3293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3308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ht="14.25" spans="1:20">
      <c r="A30" s="3" t="s">
        <v>3110</v>
      </c>
      <c r="B30" s="3" t="s">
        <v>108</v>
      </c>
      <c r="C30" s="3" t="s">
        <v>3109</v>
      </c>
      <c r="D30" s="3" t="s">
        <v>3307</v>
      </c>
      <c r="E30" s="4" t="s">
        <v>3293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3308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</v>
      </c>
      <c r="R30" s="12">
        <f t="shared" si="2"/>
        <v>38037.7358490566</v>
      </c>
      <c r="S30" s="15">
        <f t="shared" si="3"/>
        <v>0.135849056603774</v>
      </c>
      <c r="T30" s="3" t="s">
        <v>34</v>
      </c>
    </row>
    <row r="31" ht="14.25" spans="1:20">
      <c r="A31" s="3" t="s">
        <v>3116</v>
      </c>
      <c r="B31" s="3" t="s">
        <v>108</v>
      </c>
      <c r="C31" s="3" t="s">
        <v>3115</v>
      </c>
      <c r="D31" s="3" t="s">
        <v>3307</v>
      </c>
      <c r="E31" s="4" t="s">
        <v>3293</v>
      </c>
      <c r="F31" s="5" t="s">
        <v>59</v>
      </c>
      <c r="G31" s="6">
        <v>127569.485454545</v>
      </c>
      <c r="H31" s="6">
        <v>127569.485454545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3308</v>
      </c>
      <c r="O31" s="12">
        <f>SUMIFS(客户表!W:W,客户表!J:J,A31,客户表!A:A,E31,客户表!N:N,F31)+SUMIFS(客户表!X:X,客户表!J:J,A31,客户表!A:A,E31,客户表!N:N,F31)</f>
        <v>147092.698113208</v>
      </c>
      <c r="P31" s="12"/>
      <c r="Q31" s="12">
        <f t="shared" si="8"/>
        <v>18418.1251496817</v>
      </c>
      <c r="R31" s="12">
        <f t="shared" si="2"/>
        <v>18418.1251496817</v>
      </c>
      <c r="S31" s="15">
        <f t="shared" si="3"/>
        <v>0.125214408233279</v>
      </c>
      <c r="T31" s="3" t="s">
        <v>507</v>
      </c>
    </row>
    <row r="32" ht="14.25" spans="1:20">
      <c r="A32" s="3" t="s">
        <v>2846</v>
      </c>
      <c r="B32" s="3" t="s">
        <v>2845</v>
      </c>
      <c r="C32" s="3" t="s">
        <v>2844</v>
      </c>
      <c r="D32" s="3" t="s">
        <v>3301</v>
      </c>
      <c r="E32" s="4" t="s">
        <v>3293</v>
      </c>
      <c r="F32" s="5" t="s">
        <v>3092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3302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</v>
      </c>
      <c r="R32" s="12">
        <f t="shared" si="2"/>
        <v>566348.113207547</v>
      </c>
      <c r="S32" s="15">
        <f t="shared" si="3"/>
        <v>0.215465687905099</v>
      </c>
      <c r="T32" s="3" t="s">
        <v>34</v>
      </c>
    </row>
    <row r="33" ht="14.25" spans="1:20">
      <c r="A33" s="3" t="s">
        <v>3157</v>
      </c>
      <c r="B33" s="3" t="s">
        <v>108</v>
      </c>
      <c r="C33" s="3" t="s">
        <v>3156</v>
      </c>
      <c r="D33" s="3" t="s">
        <v>2044</v>
      </c>
      <c r="E33" s="4" t="s">
        <v>3293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3309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ht="14.25" spans="1:20">
      <c r="A34" s="3" t="s">
        <v>3157</v>
      </c>
      <c r="B34" s="3" t="s">
        <v>108</v>
      </c>
      <c r="C34" s="3" t="s">
        <v>3156</v>
      </c>
      <c r="D34" s="3" t="s">
        <v>2044</v>
      </c>
      <c r="E34" s="4" t="s">
        <v>3293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3309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ht="14.25" spans="1:20">
      <c r="A35" s="3" t="s">
        <v>3184</v>
      </c>
      <c r="B35" s="3" t="s">
        <v>108</v>
      </c>
      <c r="C35" s="3" t="s">
        <v>3183</v>
      </c>
      <c r="D35" s="3" t="s">
        <v>275</v>
      </c>
      <c r="E35" s="4" t="s">
        <v>3293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91.383</v>
      </c>
      <c r="K35" s="6">
        <v>0</v>
      </c>
      <c r="L35" s="11">
        <f t="shared" si="1"/>
        <v>91.383</v>
      </c>
      <c r="M35" s="5" t="s">
        <v>43</v>
      </c>
      <c r="N35" s="3" t="s">
        <v>3310</v>
      </c>
      <c r="O35" s="12">
        <f>SUMIFS(客户表!W:W,客户表!J:J,A35,客户表!A:A,E35,客户表!N:N,F35)+SUMIFS(客户表!X:X,客户表!J:J,A35,客户表!A:A,E35,客户表!N:N,F35)</f>
        <v>1522.75352941176</v>
      </c>
      <c r="P35" s="12"/>
      <c r="Q35" s="12">
        <f t="shared" si="9"/>
        <v>85.9306881243066</v>
      </c>
      <c r="R35" s="12">
        <f t="shared" si="2"/>
        <v>85.9306881243066</v>
      </c>
      <c r="S35" s="15">
        <f t="shared" si="3"/>
        <v>0.0564311206407128</v>
      </c>
      <c r="T35" s="3" t="s">
        <v>34</v>
      </c>
    </row>
    <row r="36" ht="14.25" spans="1:20">
      <c r="A36" s="3" t="s">
        <v>3184</v>
      </c>
      <c r="B36" s="3" t="s">
        <v>108</v>
      </c>
      <c r="C36" s="3" t="s">
        <v>3183</v>
      </c>
      <c r="D36" s="3" t="s">
        <v>275</v>
      </c>
      <c r="E36" s="4" t="s">
        <v>3293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3310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ht="14.25" spans="1:20">
      <c r="A37" s="3" t="s">
        <v>3186</v>
      </c>
      <c r="B37" s="3" t="s">
        <v>108</v>
      </c>
      <c r="C37" s="3" t="s">
        <v>3185</v>
      </c>
      <c r="D37" s="3" t="s">
        <v>275</v>
      </c>
      <c r="E37" s="4" t="s">
        <v>3293</v>
      </c>
      <c r="F37" s="5" t="s">
        <v>42</v>
      </c>
      <c r="G37" s="6">
        <v>69608.32</v>
      </c>
      <c r="H37" s="6">
        <v>69608.32</v>
      </c>
      <c r="I37" s="10">
        <v>0.03</v>
      </c>
      <c r="J37" s="11">
        <f t="shared" si="0"/>
        <v>2088.2496</v>
      </c>
      <c r="K37" s="6">
        <v>0</v>
      </c>
      <c r="L37" s="11">
        <f t="shared" si="1"/>
        <v>2088.2496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67580.8932038835</v>
      </c>
      <c r="P37" s="12"/>
      <c r="Q37" s="12">
        <f t="shared" si="9"/>
        <v>57.3800036636634</v>
      </c>
      <c r="R37" s="12">
        <f t="shared" si="2"/>
        <v>57.3800036636634</v>
      </c>
      <c r="S37" s="15">
        <f t="shared" si="3"/>
        <v>0.000849056603773418</v>
      </c>
      <c r="T37" s="3" t="s">
        <v>34</v>
      </c>
    </row>
    <row r="38" ht="14.25" spans="1:20">
      <c r="A38" s="3" t="s">
        <v>3186</v>
      </c>
      <c r="B38" s="3" t="s">
        <v>108</v>
      </c>
      <c r="C38" s="3" t="s">
        <v>3185</v>
      </c>
      <c r="D38" s="3" t="s">
        <v>275</v>
      </c>
      <c r="E38" s="4" t="s">
        <v>3293</v>
      </c>
      <c r="F38" s="5" t="s">
        <v>59</v>
      </c>
      <c r="G38" s="6">
        <v>0</v>
      </c>
      <c r="H38" s="6">
        <v>0</v>
      </c>
      <c r="I38" s="10">
        <v>0.07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ht="14.25" spans="1:20">
      <c r="A39" s="3" t="s">
        <v>3154</v>
      </c>
      <c r="B39" s="3" t="s">
        <v>2000</v>
      </c>
      <c r="C39" s="3" t="s">
        <v>3153</v>
      </c>
      <c r="D39" s="3" t="s">
        <v>3311</v>
      </c>
      <c r="E39" s="4" t="s">
        <v>3293</v>
      </c>
      <c r="F39" s="5" t="s">
        <v>3099</v>
      </c>
      <c r="G39" s="6">
        <v>867279.95627817</v>
      </c>
      <c r="H39" s="6">
        <v>867279.95627817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867279.95627817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ht="14.25" spans="1:20">
      <c r="A40" s="3" t="s">
        <v>3154</v>
      </c>
      <c r="B40" s="3" t="s">
        <v>2000</v>
      </c>
      <c r="C40" s="3" t="s">
        <v>3153</v>
      </c>
      <c r="D40" s="3" t="s">
        <v>3311</v>
      </c>
      <c r="E40" s="4" t="s">
        <v>3293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</v>
      </c>
      <c r="P40" s="12"/>
      <c r="Q40" s="12">
        <f t="shared" si="9"/>
        <v>247017.877358491</v>
      </c>
      <c r="R40" s="12">
        <f t="shared" si="2"/>
        <v>247017.877358491</v>
      </c>
      <c r="S40" s="15">
        <f t="shared" si="3"/>
        <v>0.0364755017447193</v>
      </c>
      <c r="T40" s="3" t="s">
        <v>34</v>
      </c>
    </row>
    <row r="41" ht="14.25" spans="1:20">
      <c r="A41" s="3" t="s">
        <v>3154</v>
      </c>
      <c r="B41" s="3" t="s">
        <v>2000</v>
      </c>
      <c r="C41" s="3" t="s">
        <v>3153</v>
      </c>
      <c r="D41" s="3" t="s">
        <v>3311</v>
      </c>
      <c r="E41" s="4" t="s">
        <v>3293</v>
      </c>
      <c r="F41" s="5" t="s">
        <v>59</v>
      </c>
      <c r="G41" s="6">
        <v>125551.68</v>
      </c>
      <c r="H41" s="6">
        <v>125551.68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152075.04</v>
      </c>
      <c r="P41" s="12"/>
      <c r="Q41" s="12">
        <f t="shared" si="9"/>
        <v>25022.037735849</v>
      </c>
      <c r="R41" s="12">
        <f t="shared" si="2"/>
        <v>25022.037735849</v>
      </c>
      <c r="S41" s="15">
        <f t="shared" si="3"/>
        <v>0.164537439778737</v>
      </c>
      <c r="T41" s="3" t="s">
        <v>34</v>
      </c>
    </row>
    <row r="42" ht="14.25" spans="1:20">
      <c r="A42" s="3" t="s">
        <v>2001</v>
      </c>
      <c r="B42" s="3" t="s">
        <v>2000</v>
      </c>
      <c r="C42" s="3" t="s">
        <v>1999</v>
      </c>
      <c r="D42" s="3" t="s">
        <v>3299</v>
      </c>
      <c r="E42" s="4" t="s">
        <v>3293</v>
      </c>
      <c r="F42" s="5" t="s">
        <v>3099</v>
      </c>
      <c r="G42" s="6">
        <v>351387.8</v>
      </c>
      <c r="H42" s="6">
        <f>385021-4422-29211.2</f>
        <v>351387.8</v>
      </c>
      <c r="I42" s="10">
        <v>0.065</v>
      </c>
      <c r="J42" s="11">
        <f t="shared" si="0"/>
        <v>22840.207</v>
      </c>
      <c r="K42" s="6">
        <v>0</v>
      </c>
      <c r="L42" s="11">
        <f t="shared" si="1"/>
        <v>22840.207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</v>
      </c>
      <c r="R42" s="12">
        <f t="shared" si="2"/>
        <v>58318.308490566</v>
      </c>
      <c r="S42" s="15">
        <f t="shared" si="3"/>
        <v>0.149394306586313</v>
      </c>
      <c r="T42" s="3" t="s">
        <v>34</v>
      </c>
    </row>
    <row r="43" ht="14.25" spans="1:20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3293</v>
      </c>
      <c r="F43" s="5" t="s">
        <v>3099</v>
      </c>
      <c r="G43" s="6">
        <v>100000</v>
      </c>
      <c r="H43" s="6">
        <v>100000</v>
      </c>
      <c r="I43" s="10">
        <v>0.065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</v>
      </c>
      <c r="R43" s="12">
        <f t="shared" si="2"/>
        <v>6132.07547169811</v>
      </c>
      <c r="S43" s="15">
        <f t="shared" si="3"/>
        <v>0.0613207547169811</v>
      </c>
      <c r="T43" s="3" t="s">
        <v>34</v>
      </c>
    </row>
    <row r="44" ht="14.25" spans="1:20">
      <c r="A44" s="3" t="s">
        <v>3190</v>
      </c>
      <c r="B44" s="3" t="s">
        <v>108</v>
      </c>
      <c r="C44" s="3" t="s">
        <v>3189</v>
      </c>
      <c r="D44" s="3" t="s">
        <v>163</v>
      </c>
      <c r="E44" s="4" t="s">
        <v>3293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</v>
      </c>
      <c r="R44" s="12">
        <f t="shared" si="2"/>
        <v>37726.1</v>
      </c>
      <c r="S44" s="15">
        <f t="shared" si="3"/>
        <v>0.293165461336508</v>
      </c>
      <c r="T44" s="3" t="s">
        <v>34</v>
      </c>
    </row>
    <row r="45" ht="14.25" spans="1:20">
      <c r="A45" s="3" t="s">
        <v>3193</v>
      </c>
      <c r="B45" s="3" t="s">
        <v>108</v>
      </c>
      <c r="C45" s="3" t="s">
        <v>3192</v>
      </c>
      <c r="D45" s="3" t="s">
        <v>130</v>
      </c>
      <c r="E45" s="4" t="s">
        <v>3293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3312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ht="14.25" spans="1:20">
      <c r="A46" s="3" t="s">
        <v>51</v>
      </c>
      <c r="B46" s="3" t="s">
        <v>50</v>
      </c>
      <c r="C46" s="3" t="s">
        <v>49</v>
      </c>
      <c r="D46" s="3" t="s">
        <v>3297</v>
      </c>
      <c r="E46" s="4" t="s">
        <v>3293</v>
      </c>
      <c r="F46" s="5" t="s">
        <v>3099</v>
      </c>
      <c r="G46" s="6">
        <v>237880</v>
      </c>
      <c r="H46" s="6">
        <v>237880</v>
      </c>
      <c r="I46" s="10">
        <v>0.053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3302</v>
      </c>
      <c r="N46" s="3"/>
      <c r="O46" s="12">
        <f>SUMIFS(客户表!W:W,客户表!J:J,A46,客户表!A:A,E46,客户表!N:N,F46)+SUMIFS(客户表!X:X,客户表!J:J,A46,客户表!A:A,E46,客户表!N:N,F46)</f>
        <v>233649.23</v>
      </c>
      <c r="P46" s="12"/>
      <c r="Q46" s="12">
        <f>(O46-G46+J46)/1.06</f>
        <v>7902.70754716979</v>
      </c>
      <c r="R46" s="12">
        <f t="shared" si="2"/>
        <v>7902.70754716979</v>
      </c>
      <c r="S46" s="15">
        <f t="shared" si="3"/>
        <v>0.0338229556637948</v>
      </c>
      <c r="T46" s="3" t="s">
        <v>34</v>
      </c>
    </row>
    <row r="47" ht="14.25" spans="1:20">
      <c r="A47" s="3" t="s">
        <v>3249</v>
      </c>
      <c r="B47" s="3" t="s">
        <v>108</v>
      </c>
      <c r="C47" s="3" t="s">
        <v>2325</v>
      </c>
      <c r="D47" s="3" t="s">
        <v>2325</v>
      </c>
      <c r="E47" s="4" t="s">
        <v>3293</v>
      </c>
      <c r="F47" s="5" t="s">
        <v>3251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19565.2173913044</v>
      </c>
      <c r="K47" s="6">
        <f>J47</f>
        <v>19565.2173913044</v>
      </c>
      <c r="L47" s="11">
        <f t="shared" si="1"/>
        <v>0</v>
      </c>
      <c r="M47" s="5" t="s">
        <v>43</v>
      </c>
      <c r="N47" s="3" t="s">
        <v>3313</v>
      </c>
      <c r="O47" s="12">
        <f>SUMIFS(客户表!W:W,客户表!J:J,A47,客户表!A:A,E47,客户表!N:N,F47)+SUMIFS(客户表!X:X,客户表!J:J,A47,客户表!A:A,E47,客户表!N:N,F47)</f>
        <v>142857.142857143</v>
      </c>
      <c r="P47" s="12"/>
      <c r="Q47" s="12">
        <f t="shared" ref="Q47:Q54" si="10">(O47-G47+J47-K47)/1.06</f>
        <v>11719.2077815536</v>
      </c>
      <c r="R47" s="12">
        <f t="shared" si="2"/>
        <v>11719.2077815536</v>
      </c>
      <c r="S47" s="15">
        <f t="shared" si="3"/>
        <v>0.0820344544708754</v>
      </c>
      <c r="T47" s="3" t="s">
        <v>34</v>
      </c>
    </row>
    <row r="48" ht="14.25" spans="1:20">
      <c r="A48" s="3" t="s">
        <v>3254</v>
      </c>
      <c r="B48" s="3" t="s">
        <v>108</v>
      </c>
      <c r="C48" s="3" t="s">
        <v>3253</v>
      </c>
      <c r="D48" s="3" t="s">
        <v>3253</v>
      </c>
      <c r="E48" s="4" t="s">
        <v>3293</v>
      </c>
      <c r="F48" s="5" t="s">
        <v>3088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951.415094339623</v>
      </c>
      <c r="R48" s="12">
        <f t="shared" si="2"/>
        <v>951.415094339623</v>
      </c>
      <c r="S48" s="15">
        <f t="shared" si="3"/>
        <v>0.0241896468311563</v>
      </c>
      <c r="T48" s="3" t="s">
        <v>34</v>
      </c>
    </row>
    <row r="49" ht="14.25" spans="1:20">
      <c r="A49" s="3" t="s">
        <v>3257</v>
      </c>
      <c r="B49" s="3" t="s">
        <v>108</v>
      </c>
      <c r="C49" s="3" t="s">
        <v>3256</v>
      </c>
      <c r="D49" s="3" t="s">
        <v>3256</v>
      </c>
      <c r="E49" s="4" t="s">
        <v>3293</v>
      </c>
      <c r="F49" s="5" t="s">
        <v>3088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11148.5849056604</v>
      </c>
      <c r="R49" s="12">
        <f t="shared" si="2"/>
        <v>11148.5849056604</v>
      </c>
      <c r="S49" s="15">
        <f t="shared" si="3"/>
        <v>0.0241896468311563</v>
      </c>
      <c r="T49" s="3" t="s">
        <v>34</v>
      </c>
    </row>
    <row r="50" ht="14.25" spans="1:20">
      <c r="A50" s="3" t="s">
        <v>3259</v>
      </c>
      <c r="B50" s="3" t="s">
        <v>108</v>
      </c>
      <c r="C50" s="3" t="s">
        <v>3258</v>
      </c>
      <c r="D50" s="3" t="s">
        <v>3258</v>
      </c>
      <c r="E50" s="4" t="s">
        <v>3293</v>
      </c>
      <c r="F50" s="5" t="s">
        <v>3088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</v>
      </c>
      <c r="R50" s="12">
        <f t="shared" si="2"/>
        <v>15663.679245283</v>
      </c>
      <c r="S50" s="15">
        <f t="shared" si="3"/>
        <v>0.0241896468311563</v>
      </c>
      <c r="T50" s="3" t="s">
        <v>34</v>
      </c>
    </row>
    <row r="51" ht="14.25" spans="1:20">
      <c r="A51" s="3" t="s">
        <v>3261</v>
      </c>
      <c r="B51" s="3" t="s">
        <v>108</v>
      </c>
      <c r="C51" s="3" t="s">
        <v>3260</v>
      </c>
      <c r="D51" s="3" t="s">
        <v>3260</v>
      </c>
      <c r="E51" s="4" t="s">
        <v>3293</v>
      </c>
      <c r="F51" s="5" t="s">
        <v>3088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</v>
      </c>
      <c r="R51" s="12">
        <f t="shared" si="2"/>
        <v>3697.16981132075</v>
      </c>
      <c r="S51" s="15">
        <f t="shared" si="3"/>
        <v>0.0241896468311563</v>
      </c>
      <c r="T51" s="3" t="s">
        <v>34</v>
      </c>
    </row>
    <row r="52" ht="14.25" spans="1:20">
      <c r="A52" s="3" t="s">
        <v>3263</v>
      </c>
      <c r="B52" s="3" t="s">
        <v>108</v>
      </c>
      <c r="C52" s="3" t="s">
        <v>3262</v>
      </c>
      <c r="D52" s="3" t="s">
        <v>3314</v>
      </c>
      <c r="E52" s="4" t="s">
        <v>3293</v>
      </c>
      <c r="F52" s="5" t="s">
        <v>3088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</v>
      </c>
      <c r="R52" s="12">
        <f t="shared" si="2"/>
        <v>2288.20754716981</v>
      </c>
      <c r="S52" s="15">
        <f t="shared" si="3"/>
        <v>0.0241896468311563</v>
      </c>
      <c r="T52" s="3" t="s">
        <v>34</v>
      </c>
    </row>
    <row r="53" ht="14.25" spans="1:20">
      <c r="A53" s="3" t="s">
        <v>3264</v>
      </c>
      <c r="B53" s="3" t="s">
        <v>108</v>
      </c>
      <c r="C53" s="3" t="s">
        <v>72</v>
      </c>
      <c r="D53" s="3" t="s">
        <v>72</v>
      </c>
      <c r="E53" s="4" t="s">
        <v>3293</v>
      </c>
      <c r="F53" s="5" t="s">
        <v>3088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</v>
      </c>
      <c r="R53" s="12">
        <f t="shared" si="2"/>
        <v>362.264150943396</v>
      </c>
      <c r="S53" s="15">
        <f t="shared" si="3"/>
        <v>0.0241896468311563</v>
      </c>
      <c r="T53" s="3" t="s">
        <v>34</v>
      </c>
    </row>
    <row r="54" ht="14.25" spans="1:20">
      <c r="A54" s="3" t="s">
        <v>3268</v>
      </c>
      <c r="B54" s="3" t="s">
        <v>108</v>
      </c>
      <c r="C54" s="3" t="s">
        <v>3267</v>
      </c>
      <c r="D54" s="3" t="s">
        <v>3314</v>
      </c>
      <c r="E54" s="4" t="s">
        <v>3293</v>
      </c>
      <c r="F54" s="5" t="s">
        <v>3088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</v>
      </c>
      <c r="R54" s="12">
        <f t="shared" si="2"/>
        <v>938.207547169811</v>
      </c>
      <c r="S54" s="15">
        <f t="shared" si="3"/>
        <v>0.943396226415094</v>
      </c>
      <c r="T54" s="3" t="s">
        <v>34</v>
      </c>
    </row>
    <row r="55" ht="14.25" spans="1:20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3293</v>
      </c>
      <c r="F55" s="5" t="s">
        <v>3099</v>
      </c>
      <c r="G55" s="6">
        <v>113330.4</v>
      </c>
      <c r="H55" s="6">
        <v>113330.4</v>
      </c>
      <c r="I55" s="10">
        <v>0.17</v>
      </c>
      <c r="J55" s="11">
        <f t="shared" si="0"/>
        <v>19266.168</v>
      </c>
      <c r="K55" s="6">
        <v>70.848</v>
      </c>
      <c r="L55" s="11">
        <f t="shared" si="1"/>
        <v>19195.32</v>
      </c>
      <c r="M55" s="5" t="s">
        <v>3302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</v>
      </c>
      <c r="R55" s="12">
        <f t="shared" si="2"/>
        <v>18175.6301886792</v>
      </c>
      <c r="S55" s="15">
        <f t="shared" si="3"/>
        <v>0.160377358490566</v>
      </c>
      <c r="T55" s="3" t="s">
        <v>507</v>
      </c>
    </row>
    <row r="56" ht="14.25" spans="1:20">
      <c r="A56" s="3" t="s">
        <v>3149</v>
      </c>
      <c r="B56" s="3" t="s">
        <v>108</v>
      </c>
      <c r="C56" s="3" t="s">
        <v>3148</v>
      </c>
      <c r="D56" s="3" t="s">
        <v>1927</v>
      </c>
      <c r="E56" s="4" t="s">
        <v>3293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3150</v>
      </c>
      <c r="O56" s="12">
        <f>SUMIFS(客户表!W:W,客户表!J:J,A56,客户表!A:A,E56,客户表!N:N,F56)+SUMIFS(客户表!X:X,客户表!J:J,A56,客户表!A:A,E56,客户表!N:N,F56)</f>
        <v>102001.731727273</v>
      </c>
      <c r="P56" s="12"/>
      <c r="Q56" s="12">
        <f t="shared" ref="Q56:Q60" si="11">(O56-G56+J56-K56)/1.06</f>
        <v>0.00162950254546232</v>
      </c>
      <c r="R56" s="12">
        <f t="shared" si="2"/>
        <v>0.00162950254546232</v>
      </c>
      <c r="S56" s="15">
        <f t="shared" si="3"/>
        <v>1.59752439283993e-8</v>
      </c>
      <c r="T56" s="3" t="s">
        <v>34</v>
      </c>
    </row>
    <row r="57" ht="14.25" spans="1:20">
      <c r="A57" s="3" t="s">
        <v>3149</v>
      </c>
      <c r="B57" s="3" t="s">
        <v>108</v>
      </c>
      <c r="C57" s="3" t="s">
        <v>3148</v>
      </c>
      <c r="D57" s="3" t="s">
        <v>1927</v>
      </c>
      <c r="E57" s="4" t="s">
        <v>3293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3150</v>
      </c>
      <c r="O57" s="12">
        <f>SUMIFS(客户表!W:W,客户表!J:J,A57,客户表!A:A,E57,客户表!N:N,F57)+SUMIFS(客户表!X:X,客户表!J:J,A57,客户表!A:A,E57,客户表!N:N,F57)</f>
        <v>19680.1189090909</v>
      </c>
      <c r="P57" s="12"/>
      <c r="Q57" s="12">
        <f t="shared" si="11"/>
        <v>-0.00102915951775119</v>
      </c>
      <c r="R57" s="12">
        <f t="shared" si="2"/>
        <v>-0.00102915951775119</v>
      </c>
      <c r="S57" s="15">
        <f t="shared" si="3"/>
        <v>-5.22943749733029e-8</v>
      </c>
      <c r="T57" s="3" t="s">
        <v>34</v>
      </c>
    </row>
    <row r="58" ht="14.25" spans="1:20">
      <c r="A58" s="3" t="s">
        <v>3149</v>
      </c>
      <c r="B58" s="3" t="s">
        <v>108</v>
      </c>
      <c r="C58" s="3" t="s">
        <v>3148</v>
      </c>
      <c r="D58" s="3" t="s">
        <v>1927</v>
      </c>
      <c r="E58" s="4" t="s">
        <v>3293</v>
      </c>
      <c r="F58" s="5" t="s">
        <v>110</v>
      </c>
      <c r="G58" s="6">
        <v>3043.80508474576</v>
      </c>
      <c r="H58" s="6">
        <v>3043.80508474576</v>
      </c>
      <c r="I58" s="10">
        <v>0</v>
      </c>
      <c r="J58" s="11"/>
      <c r="K58" s="6"/>
      <c r="L58" s="11"/>
      <c r="M58" s="5" t="s">
        <v>82</v>
      </c>
      <c r="N58" s="3" t="s">
        <v>3150</v>
      </c>
      <c r="O58" s="12">
        <f>SUMIFS(客户表!W:W,客户表!J:J,A58,客户表!A:A,E58,客户表!N:N,F58)+SUMIFS(客户表!X:X,客户表!J:J,A58,客户表!A:A,E58,客户表!N:N,F58)</f>
        <v>3043.80508474576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ht="14.25" spans="1:20">
      <c r="A59" s="3" t="s">
        <v>3149</v>
      </c>
      <c r="B59" s="3" t="s">
        <v>108</v>
      </c>
      <c r="C59" s="3" t="s">
        <v>3148</v>
      </c>
      <c r="D59" s="3" t="s">
        <v>1927</v>
      </c>
      <c r="E59" s="4" t="s">
        <v>3293</v>
      </c>
      <c r="F59" s="5" t="s">
        <v>3092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3150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201169.811320755</v>
      </c>
      <c r="R59" s="12">
        <f t="shared" si="2"/>
        <v>201169.811320755</v>
      </c>
      <c r="S59" s="15">
        <f t="shared" si="3"/>
        <v>0.428020875150542</v>
      </c>
      <c r="T59" s="3" t="s">
        <v>34</v>
      </c>
    </row>
    <row r="60" ht="14.25" spans="1:20">
      <c r="A60" s="3" t="s">
        <v>507</v>
      </c>
      <c r="B60" s="3" t="s">
        <v>108</v>
      </c>
      <c r="C60" s="3" t="s">
        <v>2977</v>
      </c>
      <c r="D60" s="3" t="s">
        <v>2977</v>
      </c>
      <c r="E60" s="4" t="s">
        <v>3293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2020-02-08T10:36:03Z</dcterms:created>
  <dcterms:modified xsi:type="dcterms:W3CDTF">2020-02-08T10:51:14Z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